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2.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drawings/drawing3.xml" ContentType="application/vnd.openxmlformats-officedocument.drawing+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drawings/drawing4.xml" ContentType="application/vnd.openxmlformats-officedocument.drawing+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drawings/drawing5.xml" ContentType="application/vnd.openxmlformats-officedocument.drawing+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drawings/drawing6.xml" ContentType="application/vnd.openxmlformats-officedocument.drawing+xml"/>
  <Override PartName="/xl/ctrlProps/ctrlProp259.xml" ContentType="application/vnd.ms-excel.controlproperties+xml"/>
  <Override PartName="/xl/ctrlProps/ctrlProp26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Lmcguinness\Desktop\"/>
    </mc:Choice>
  </mc:AlternateContent>
  <workbookProtection workbookAlgorithmName="SHA-512" workbookHashValue="fgUTv+fH5mZHAvlhcwBoMv7xuh+z3FSnbFcFUOvegEUq945ERfE2y4ouZKp6WvpHGGXVFhI7ng2fsTUKGRQ2HA==" workbookSaltValue="XCAlDbGB8Rt8A75Pm6Yu5g==" workbookSpinCount="100000" lockStructure="1"/>
  <bookViews>
    <workbookView xWindow="0" yWindow="0" windowWidth="19200" windowHeight="6000" tabRatio="869" firstSheet="1" activeTab="7"/>
  </bookViews>
  <sheets>
    <sheet name="Control" sheetId="14" state="hidden" r:id="rId1"/>
    <sheet name="Cover" sheetId="35" r:id="rId2"/>
    <sheet name="Notes on Completion" sheetId="36" r:id="rId3"/>
    <sheet name="1. Applicant Firm Details" sheetId="26" r:id="rId4"/>
    <sheet name="2. Ownership &amp; Management" sheetId="20" r:id="rId5"/>
    <sheet name="3. AML CFT FS Goverance" sheetId="18" r:id="rId6"/>
    <sheet name="4. ML.TF Risk Profile" sheetId="3" r:id="rId7"/>
    <sheet name="5. Risk Based Approach" sheetId="4" r:id="rId8"/>
    <sheet name="6. Declarations" sheetId="22" r:id="rId9"/>
    <sheet name="Glossary" sheetId="27" r:id="rId10"/>
  </sheets>
  <externalReferences>
    <externalReference r:id="rId11"/>
    <externalReference r:id="rId12"/>
    <externalReference r:id="rId13"/>
    <externalReference r:id="rId14"/>
    <externalReference r:id="rId15"/>
    <externalReference r:id="rId16"/>
    <externalReference r:id="rId17"/>
  </externalReferences>
  <definedNames>
    <definedName name="_ftn1" localSheetId="2">'Notes on Completion'!#REF!</definedName>
    <definedName name="_ftnref1" localSheetId="2">'Notes on Completion'!$C$3</definedName>
    <definedName name="Channel" localSheetId="1">[1]Control!$AB$2:$AB$7</definedName>
    <definedName name="Channel" localSheetId="2">[2]Control!$AB$2:$AB$7</definedName>
    <definedName name="Channel">Control!$AB$2:$AB$7</definedName>
    <definedName name="Company" localSheetId="1">[1]Control!$S$2:$S$12</definedName>
    <definedName name="Company" localSheetId="2">[3]Control!$S$2:$S$11</definedName>
    <definedName name="Company">Control!$S$2:$S$12</definedName>
    <definedName name="country_all" localSheetId="1">[1]Control!$Q$2:$Q$246</definedName>
    <definedName name="Country_All" localSheetId="2">[4]Control!$I$2:$I$246</definedName>
    <definedName name="country_all">Control!$Q$2:$Q$246</definedName>
    <definedName name="country_EU" localSheetId="1">[1]Control!$O$2:$O$32</definedName>
    <definedName name="country_EU" localSheetId="2">[2]Control!$O$2:$O$32</definedName>
    <definedName name="country_EU">Control!$O$2:$O$33</definedName>
    <definedName name="country_EU1">[4]Control!$G$2:$G$32</definedName>
    <definedName name="county" localSheetId="1">[1]Control!$M$2:$M$55</definedName>
    <definedName name="County" localSheetId="2">[4]Control!$A$2:$A$55</definedName>
    <definedName name="county">Control!$M$2:$M$55</definedName>
    <definedName name="FOSFOE">Control!$AD$2:$AD$5</definedName>
    <definedName name="Frequency" localSheetId="1">[1]Control!$A$2:$A$8</definedName>
    <definedName name="Frequency" localSheetId="2">[2]Control!$A$2:$A$8</definedName>
    <definedName name="Frequency">Control!$A$2:$A$8</definedName>
    <definedName name="Frequency1" localSheetId="1">[1]Control!$C$2:$C$8</definedName>
    <definedName name="Frequency1" localSheetId="2">[2]Control!$C$2:$C$8</definedName>
    <definedName name="Frequency1">Control!$C$2:$C$8</definedName>
    <definedName name="Group" localSheetId="2">[2]Control!$AF$2:$AF$3</definedName>
    <definedName name="Group">Control!$AF$2:$AF$3</definedName>
    <definedName name="ID">[5]Control!$N$2:$N$3</definedName>
    <definedName name="Id_Type">[4]Control!$V$2:$V$5</definedName>
    <definedName name="Legal_Status">[4]Control!$C$2:$C$12</definedName>
    <definedName name="Legal_Status1">[4]Control!$E$2:$E$10</definedName>
    <definedName name="LegalStatus1">[6]Control!$AB$2:$AB$10</definedName>
    <definedName name="Number">Control!$AH$2:$AH$102</definedName>
    <definedName name="Number1" localSheetId="1">[1]Control!$AJ$2:$AJ$13</definedName>
    <definedName name="Number1" localSheetId="2">[4]Control!$AK$2:$AK$12</definedName>
    <definedName name="Number1">Control!$AJ$2:$AJ$13</definedName>
    <definedName name="Number2" localSheetId="1">[1]Control!$AL$2:$AL$6</definedName>
    <definedName name="Number2" localSheetId="2">[4]Control!$AM$2:$AM$7</definedName>
    <definedName name="Number2">Control!$AL$2:$AL$6</definedName>
    <definedName name="Number3">[4]Control!$AO$2:$AO$13</definedName>
    <definedName name="PCF" localSheetId="2">[2]Control!$V$2:$V$48</definedName>
    <definedName name="PCF">Control!$V$2:$V$48</definedName>
    <definedName name="_xlnm.Print_Area" localSheetId="3">'1. Applicant Firm Details'!$A$1:$C$1545</definedName>
    <definedName name="Risk" localSheetId="1">[1]Control!$K$2:$K$7</definedName>
    <definedName name="Risk" localSheetId="2">[2]Control!$K$2:$K$7</definedName>
    <definedName name="Risk">Control!$K$2:$K$7</definedName>
    <definedName name="SMBO">[5]Control!$I$2:$I$4</definedName>
    <definedName name="SPM" localSheetId="1">[1]Control!$AN$2:$AN$3</definedName>
    <definedName name="SPM" localSheetId="2">[2]Control!$AN$2:$AN$3</definedName>
    <definedName name="SPM">Control!$AN$2:$AN$3</definedName>
    <definedName name="SPM_1" localSheetId="1">[1]Control!#REF!</definedName>
    <definedName name="SPM_1" localSheetId="2">[2]Control!$AP$2:$AP$4</definedName>
    <definedName name="SPM_1">Control!#REF!</definedName>
    <definedName name="Status">[7]Control!$M$2:$M$3</definedName>
    <definedName name="Status1">[6]Control!$O$2:$O$3</definedName>
    <definedName name="True1">Control!$BU$3:$BV$6</definedName>
    <definedName name="True2" localSheetId="1">[1]Control!$BX$3:$BZ$10</definedName>
    <definedName name="True2" localSheetId="2">[2]Control!$CA$3:$CC$10</definedName>
    <definedName name="True2">Control!$BX$3:$BZ$10</definedName>
    <definedName name="True3" localSheetId="1">[1]Control!$CB$3:$CD$10</definedName>
    <definedName name="True3" localSheetId="2">[2]Control!$CE$3:$CG$10</definedName>
    <definedName name="True3">Control!$CB$3:$CD$10</definedName>
    <definedName name="True4" localSheetId="1">[1]Control!$CF$3:$CH$10</definedName>
    <definedName name="True4" localSheetId="2">[3]Control!$CE$3:$CG$10</definedName>
    <definedName name="True4">Control!$CF$3:$CH$10</definedName>
    <definedName name="Y_N">Control!$E$2:$E$4</definedName>
    <definedName name="YN" localSheetId="1">[1]Control!$I$2:$I$3</definedName>
    <definedName name="YN" localSheetId="2">[2]Control!$I$2:$I$3</definedName>
    <definedName name="YN">Control!$I$2:$I$3</definedName>
    <definedName name="YN_1">[4]Control!$X$2:$Y$9</definedName>
    <definedName name="YN_2">[4]Control!$AA$2:$AC$9</definedName>
    <definedName name="YNN">Control!$G$2:$G$4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7" i="4" l="1"/>
  <c r="Q69" i="18" l="1"/>
  <c r="N69" i="18"/>
  <c r="S69" i="18" s="1"/>
  <c r="C69" i="18"/>
  <c r="M69" i="18" l="1"/>
  <c r="F69" i="18" s="1"/>
  <c r="P123" i="3" l="1"/>
  <c r="P122" i="3"/>
  <c r="P121" i="3"/>
  <c r="P120" i="3"/>
  <c r="D123" i="3" l="1"/>
  <c r="P23" i="26" l="1"/>
  <c r="P33" i="26" l="1"/>
  <c r="M29" i="26" l="1"/>
  <c r="M26" i="26" l="1"/>
  <c r="M27" i="26"/>
  <c r="M28" i="26"/>
  <c r="M25" i="26"/>
  <c r="M53" i="20" l="1"/>
  <c r="Q58" i="22"/>
  <c r="B57" i="22" s="1"/>
  <c r="Q40" i="22"/>
  <c r="B39" i="22" s="1"/>
  <c r="R10" i="22"/>
  <c r="B10" i="22" s="1"/>
  <c r="Q65" i="20" l="1"/>
  <c r="M67" i="20" s="1"/>
  <c r="R60" i="20"/>
  <c r="E60" i="20" s="1"/>
  <c r="R65" i="20"/>
  <c r="E65" i="20" s="1"/>
  <c r="M65" i="20"/>
  <c r="G65" i="20" s="1"/>
  <c r="T65" i="20"/>
  <c r="G53" i="20"/>
  <c r="P53" i="20"/>
  <c r="B57" i="20" l="1"/>
  <c r="E53" i="20"/>
  <c r="B69" i="20"/>
  <c r="M66" i="20"/>
  <c r="G66" i="20" s="1"/>
  <c r="G67" i="20"/>
  <c r="M54" i="20"/>
  <c r="M55" i="20"/>
  <c r="I15" i="20" l="1"/>
  <c r="I14" i="20"/>
  <c r="I13" i="20"/>
  <c r="I12" i="20"/>
  <c r="I23" i="20"/>
  <c r="I26" i="20"/>
  <c r="I25" i="20"/>
  <c r="I24" i="20"/>
  <c r="D39" i="20"/>
  <c r="D48" i="20"/>
  <c r="D47" i="20"/>
  <c r="D46" i="20"/>
  <c r="D45" i="20"/>
  <c r="D44" i="20"/>
  <c r="D43" i="20"/>
  <c r="D42" i="20"/>
  <c r="D41" i="20"/>
  <c r="D40" i="20"/>
  <c r="V48" i="20"/>
  <c r="P48" i="20" s="1"/>
  <c r="V47" i="20"/>
  <c r="P47" i="20" s="1"/>
  <c r="V46" i="20"/>
  <c r="P46" i="20" s="1"/>
  <c r="V45" i="20"/>
  <c r="P45" i="20" s="1"/>
  <c r="V44" i="20"/>
  <c r="P44" i="20" s="1"/>
  <c r="V43" i="20"/>
  <c r="P43" i="20" s="1"/>
  <c r="V42" i="20"/>
  <c r="P42" i="20" s="1"/>
  <c r="V41" i="20"/>
  <c r="P41" i="20" s="1"/>
  <c r="V40" i="20"/>
  <c r="P40" i="20" s="1"/>
  <c r="V39" i="20"/>
  <c r="P39" i="20" s="1"/>
  <c r="M40" i="22"/>
  <c r="M39" i="22"/>
  <c r="D39" i="22"/>
  <c r="M39" i="26" l="1"/>
  <c r="M44" i="26"/>
  <c r="M43" i="26"/>
  <c r="D43" i="26" s="1"/>
  <c r="M36" i="26"/>
  <c r="M37" i="26"/>
  <c r="M38" i="26"/>
  <c r="M35" i="26"/>
  <c r="M60" i="20" l="1"/>
  <c r="G60" i="20" s="1"/>
  <c r="G55" i="20"/>
  <c r="Q53" i="20"/>
  <c r="M31" i="20"/>
  <c r="H31" i="20" s="1"/>
  <c r="G54" i="20" l="1"/>
  <c r="D164" i="26" l="1"/>
  <c r="M163" i="26"/>
  <c r="D163" i="26" s="1"/>
  <c r="M162" i="26"/>
  <c r="D162" i="26" s="1"/>
  <c r="M161" i="26"/>
  <c r="D161" i="26" s="1"/>
  <c r="M160" i="26"/>
  <c r="D160" i="26" s="1"/>
  <c r="M159" i="26"/>
  <c r="D159" i="26" s="1"/>
  <c r="M157" i="26"/>
  <c r="N133" i="26"/>
  <c r="N137" i="26"/>
  <c r="M150" i="26"/>
  <c r="R150" i="26"/>
  <c r="D157" i="26" l="1"/>
  <c r="D150" i="26"/>
  <c r="M135" i="26"/>
  <c r="D135" i="26" s="1"/>
  <c r="R135" i="26"/>
  <c r="M131" i="26"/>
  <c r="D131" i="26" s="1"/>
  <c r="R131" i="26"/>
  <c r="M126" i="26"/>
  <c r="D126" i="26" s="1"/>
  <c r="M125" i="26"/>
  <c r="D125" i="26" s="1"/>
  <c r="M124" i="26"/>
  <c r="D124" i="26" s="1"/>
  <c r="M123" i="26"/>
  <c r="D123" i="26" s="1"/>
  <c r="M111" i="26"/>
  <c r="M104" i="26"/>
  <c r="D104" i="26" s="1"/>
  <c r="M73" i="26"/>
  <c r="D73" i="26" s="1"/>
  <c r="M59" i="26"/>
  <c r="C33" i="26"/>
  <c r="M33" i="26"/>
  <c r="D33" i="26" s="1"/>
  <c r="M23" i="26"/>
  <c r="D23" i="26" s="1"/>
  <c r="C23" i="26"/>
  <c r="D111" i="26" l="1"/>
  <c r="D59" i="26"/>
  <c r="P46" i="4"/>
  <c r="M48" i="4" s="1"/>
  <c r="C46" i="4"/>
  <c r="B33" i="18" l="1"/>
  <c r="Q126" i="26" l="1"/>
  <c r="Q125" i="26"/>
  <c r="Q124" i="26"/>
  <c r="Q123" i="26"/>
  <c r="Q122" i="26"/>
  <c r="C126" i="26"/>
  <c r="C125" i="26"/>
  <c r="C124" i="26"/>
  <c r="C123" i="26"/>
  <c r="C122" i="26"/>
  <c r="O127" i="26" l="1"/>
  <c r="M122" i="26" s="1"/>
  <c r="P171" i="26"/>
  <c r="M92" i="26"/>
  <c r="D92" i="26" s="1"/>
  <c r="P73" i="26"/>
  <c r="C73" i="26"/>
  <c r="D122" i="26" l="1"/>
  <c r="M75" i="26"/>
  <c r="D75" i="26" s="1"/>
  <c r="B128" i="26"/>
  <c r="C171" i="26"/>
  <c r="B175" i="26"/>
  <c r="M19" i="26" l="1"/>
  <c r="D19" i="26" s="1"/>
  <c r="M18" i="26"/>
  <c r="D18" i="26" s="1"/>
  <c r="M17" i="26"/>
  <c r="D17" i="26" s="1"/>
  <c r="M16" i="26"/>
  <c r="D16" i="26" s="1"/>
  <c r="M15" i="26"/>
  <c r="D15" i="26" s="1"/>
  <c r="D39" i="26" l="1"/>
  <c r="D38" i="26"/>
  <c r="D37" i="26"/>
  <c r="D36" i="26"/>
  <c r="D44" i="26"/>
  <c r="D35" i="26"/>
  <c r="D29" i="26"/>
  <c r="D25" i="26"/>
  <c r="D28" i="26"/>
  <c r="D27" i="26"/>
  <c r="D26" i="26"/>
  <c r="M48" i="26" l="1"/>
  <c r="E7" i="35" s="1"/>
  <c r="F7" i="35" s="1"/>
  <c r="U36" i="20"/>
  <c r="N20" i="20"/>
  <c r="N9" i="20"/>
  <c r="S36" i="20"/>
  <c r="T36" i="20" l="1"/>
  <c r="M20" i="20"/>
  <c r="M9" i="20"/>
  <c r="M14" i="3"/>
  <c r="E14" i="3" s="1"/>
  <c r="D16" i="3"/>
  <c r="E87" i="3" l="1"/>
  <c r="M87" i="3"/>
  <c r="D26" i="3" l="1"/>
  <c r="D14" i="3"/>
  <c r="D24" i="3"/>
  <c r="Q45" i="18" l="1"/>
  <c r="B47" i="18" s="1"/>
  <c r="R45" i="18" l="1"/>
  <c r="M45" i="18" s="1"/>
  <c r="E45" i="18" s="1"/>
  <c r="D114" i="3"/>
  <c r="Q104" i="3"/>
  <c r="Q103" i="3"/>
  <c r="Q102" i="3"/>
  <c r="Q101" i="3"/>
  <c r="Q100" i="3"/>
  <c r="Q111" i="3"/>
  <c r="Q110" i="3"/>
  <c r="Q109" i="3"/>
  <c r="Q108" i="3"/>
  <c r="Q107" i="3"/>
  <c r="U14" i="20"/>
  <c r="C97" i="3" l="1"/>
  <c r="C96" i="3"/>
  <c r="P97" i="3"/>
  <c r="P96" i="3"/>
  <c r="M24" i="3"/>
  <c r="Q36" i="4"/>
  <c r="P38" i="4"/>
  <c r="Q38" i="4" s="1"/>
  <c r="P37" i="4"/>
  <c r="Q37" i="4" s="1"/>
  <c r="C38" i="4"/>
  <c r="C37" i="4"/>
  <c r="C34" i="4"/>
  <c r="C24" i="4"/>
  <c r="C23" i="4"/>
  <c r="C21" i="4"/>
  <c r="P24" i="4"/>
  <c r="Q24" i="4" s="1"/>
  <c r="P23" i="4"/>
  <c r="O26" i="20"/>
  <c r="O25" i="20"/>
  <c r="O24" i="20"/>
  <c r="O23" i="20"/>
  <c r="M146" i="26"/>
  <c r="F146" i="26" s="1"/>
  <c r="P135" i="26"/>
  <c r="M68" i="26"/>
  <c r="P98" i="3" l="1"/>
  <c r="M123" i="3" s="1"/>
  <c r="F123" i="3" s="1"/>
  <c r="F24" i="3"/>
  <c r="P114" i="3"/>
  <c r="M136" i="26"/>
  <c r="M97" i="3"/>
  <c r="F97" i="3" s="1"/>
  <c r="P102" i="3"/>
  <c r="M96" i="3"/>
  <c r="F96" i="3" s="1"/>
  <c r="P104" i="3"/>
  <c r="P101" i="3"/>
  <c r="P103" i="3"/>
  <c r="O111" i="3"/>
  <c r="O107" i="3"/>
  <c r="P108" i="3"/>
  <c r="N109" i="3"/>
  <c r="P111" i="3"/>
  <c r="P107" i="3"/>
  <c r="N108" i="3"/>
  <c r="O109" i="3"/>
  <c r="N111" i="3"/>
  <c r="N107" i="3"/>
  <c r="O108" i="3"/>
  <c r="N110" i="3"/>
  <c r="O110" i="3"/>
  <c r="P110" i="3"/>
  <c r="P109" i="3"/>
  <c r="O100" i="3"/>
  <c r="O104" i="3"/>
  <c r="N101" i="3"/>
  <c r="O101" i="3"/>
  <c r="N102" i="3"/>
  <c r="O103" i="3"/>
  <c r="N104" i="3"/>
  <c r="N100" i="3"/>
  <c r="N103" i="3"/>
  <c r="O102" i="3"/>
  <c r="P100" i="3"/>
  <c r="Q23" i="4"/>
  <c r="M137" i="26"/>
  <c r="C135" i="26"/>
  <c r="M21" i="4"/>
  <c r="P55" i="3"/>
  <c r="P54" i="3"/>
  <c r="P45" i="3"/>
  <c r="M50" i="3" l="1"/>
  <c r="B49" i="3"/>
  <c r="M59" i="3"/>
  <c r="B58" i="3"/>
  <c r="M109" i="3"/>
  <c r="F109" i="3" s="1"/>
  <c r="M110" i="3"/>
  <c r="F110" i="3" s="1"/>
  <c r="M107" i="3"/>
  <c r="F107" i="3" s="1"/>
  <c r="M120" i="3"/>
  <c r="M122" i="3"/>
  <c r="M121" i="3"/>
  <c r="M114" i="3"/>
  <c r="M111" i="3"/>
  <c r="F111" i="3" s="1"/>
  <c r="M108" i="3"/>
  <c r="F108" i="3" s="1"/>
  <c r="M104" i="3"/>
  <c r="F104" i="3" s="1"/>
  <c r="M100" i="3"/>
  <c r="F100" i="3" s="1"/>
  <c r="M101" i="3"/>
  <c r="F101" i="3" s="1"/>
  <c r="M103" i="3"/>
  <c r="F103" i="3" s="1"/>
  <c r="M102" i="3"/>
  <c r="F102" i="3" s="1"/>
  <c r="N50" i="3"/>
  <c r="M47" i="3"/>
  <c r="N56" i="3"/>
  <c r="M56" i="3"/>
  <c r="M55" i="3"/>
  <c r="M46" i="3"/>
  <c r="M34" i="4"/>
  <c r="P14" i="4"/>
  <c r="M15" i="4" s="1"/>
  <c r="M14" i="4"/>
  <c r="P114" i="26"/>
  <c r="B117" i="3" l="1"/>
  <c r="M115" i="3"/>
  <c r="F115" i="3" s="1"/>
  <c r="B18" i="4"/>
  <c r="M16" i="4"/>
  <c r="E16" i="4" s="1"/>
  <c r="P124" i="3"/>
  <c r="B126" i="3" s="1"/>
  <c r="C114" i="26"/>
  <c r="B118" i="26"/>
  <c r="M116" i="26"/>
  <c r="D116" i="26" s="1"/>
  <c r="E15" i="4"/>
  <c r="F114" i="3"/>
  <c r="M115" i="26"/>
  <c r="D115" i="26" s="1"/>
  <c r="M9" i="26"/>
  <c r="Q46" i="4"/>
  <c r="B50" i="4" s="1"/>
  <c r="E48" i="4"/>
  <c r="E47" i="4"/>
  <c r="M124" i="3" l="1"/>
  <c r="E24" i="3"/>
  <c r="B62" i="20"/>
  <c r="F89" i="3"/>
  <c r="M89" i="3" s="1"/>
  <c r="M68" i="3"/>
  <c r="M67" i="3"/>
  <c r="M66" i="3"/>
  <c r="D56" i="3"/>
  <c r="C11" i="18"/>
  <c r="M11" i="18"/>
  <c r="D11" i="18" s="1"/>
  <c r="M9" i="18"/>
  <c r="P36" i="4"/>
  <c r="P34" i="4"/>
  <c r="E34" i="4"/>
  <c r="P21" i="4"/>
  <c r="E21" i="4"/>
  <c r="C14" i="4"/>
  <c r="P9" i="4"/>
  <c r="M9" i="4"/>
  <c r="M18" i="4" s="1"/>
  <c r="C9" i="4"/>
  <c r="M24" i="4" l="1"/>
  <c r="E24" i="4" s="1"/>
  <c r="B31" i="4"/>
  <c r="M25" i="4"/>
  <c r="M23" i="4"/>
  <c r="E23" i="4" s="1"/>
  <c r="E9" i="4"/>
  <c r="E30" i="35"/>
  <c r="F30" i="35" s="1"/>
  <c r="M38" i="4"/>
  <c r="E38" i="4" s="1"/>
  <c r="M37" i="4"/>
  <c r="E37" i="4" s="1"/>
  <c r="M36" i="4"/>
  <c r="E36" i="4" s="1"/>
  <c r="D9" i="18"/>
  <c r="M35" i="4"/>
  <c r="E35" i="4" s="1"/>
  <c r="M46" i="4"/>
  <c r="M39" i="4"/>
  <c r="M22" i="4"/>
  <c r="E22" i="4" s="1"/>
  <c r="D122" i="3"/>
  <c r="D121" i="3"/>
  <c r="D120" i="3"/>
  <c r="Q75" i="3"/>
  <c r="Q74" i="3"/>
  <c r="Q73" i="3"/>
  <c r="Q72" i="3"/>
  <c r="Q71" i="3"/>
  <c r="M50" i="4" l="1"/>
  <c r="E32" i="35" s="1"/>
  <c r="F32" i="35" s="1"/>
  <c r="E25" i="4"/>
  <c r="E39" i="4"/>
  <c r="E46" i="4"/>
  <c r="M31" i="4"/>
  <c r="E31" i="35" s="1"/>
  <c r="F31" i="35" s="1"/>
  <c r="F121" i="3"/>
  <c r="F122" i="3"/>
  <c r="F124" i="3"/>
  <c r="F120" i="3"/>
  <c r="P68" i="3"/>
  <c r="D67" i="3" s="1"/>
  <c r="P67" i="3"/>
  <c r="P66" i="3"/>
  <c r="B52" i="4" l="1"/>
  <c r="M126" i="3"/>
  <c r="E28" i="35" s="1"/>
  <c r="F28" i="35" s="1"/>
  <c r="C67" i="3"/>
  <c r="B67" i="3"/>
  <c r="O69" i="3"/>
  <c r="B68" i="3" s="1"/>
  <c r="C55" i="3"/>
  <c r="C54" i="3"/>
  <c r="D59" i="3"/>
  <c r="D55" i="3"/>
  <c r="M54" i="3"/>
  <c r="D50" i="3"/>
  <c r="P46" i="3"/>
  <c r="D46" i="3"/>
  <c r="C46" i="3"/>
  <c r="C45" i="3"/>
  <c r="M45" i="3"/>
  <c r="R11" i="18"/>
  <c r="D13" i="18" s="1"/>
  <c r="O37" i="3"/>
  <c r="O36" i="3"/>
  <c r="O35" i="3"/>
  <c r="O34" i="3"/>
  <c r="O33" i="3"/>
  <c r="M33" i="3" s="1"/>
  <c r="E33" i="3" s="1"/>
  <c r="O32" i="3"/>
  <c r="O31" i="3"/>
  <c r="N38" i="3"/>
  <c r="N37" i="3"/>
  <c r="N36" i="3"/>
  <c r="N35" i="3"/>
  <c r="N34" i="3"/>
  <c r="N33" i="3"/>
  <c r="N32" i="3"/>
  <c r="N31" i="3"/>
  <c r="M38" i="3"/>
  <c r="E38" i="3" s="1"/>
  <c r="O30" i="3"/>
  <c r="M30" i="3" s="1"/>
  <c r="E30" i="3" s="1"/>
  <c r="M21" i="18"/>
  <c r="N30" i="3"/>
  <c r="N29" i="3"/>
  <c r="M29" i="3" s="1"/>
  <c r="D25" i="3"/>
  <c r="G23" i="3"/>
  <c r="G22" i="3"/>
  <c r="G21" i="3"/>
  <c r="G20" i="3"/>
  <c r="E25" i="3"/>
  <c r="M23" i="3"/>
  <c r="M22" i="3"/>
  <c r="F22" i="3" s="1"/>
  <c r="M21" i="3"/>
  <c r="F21" i="3" s="1"/>
  <c r="M20" i="3"/>
  <c r="F20" i="3" s="1"/>
  <c r="M19" i="3"/>
  <c r="M13" i="3"/>
  <c r="E13" i="3" s="1"/>
  <c r="M12" i="3"/>
  <c r="E12" i="3" s="1"/>
  <c r="M11" i="3"/>
  <c r="E11" i="3" s="1"/>
  <c r="M10" i="3"/>
  <c r="E10" i="3" s="1"/>
  <c r="M9" i="3"/>
  <c r="M36" i="3" l="1"/>
  <c r="E36" i="3" s="1"/>
  <c r="M37" i="3"/>
  <c r="E37" i="3" s="1"/>
  <c r="M34" i="3"/>
  <c r="E34" i="3" s="1"/>
  <c r="M32" i="3"/>
  <c r="E32" i="3" s="1"/>
  <c r="M35" i="3"/>
  <c r="E35" i="3" s="1"/>
  <c r="F23" i="3"/>
  <c r="D45" i="3"/>
  <c r="M62" i="3"/>
  <c r="M31" i="3"/>
  <c r="E31" i="3" s="1"/>
  <c r="E9" i="3"/>
  <c r="M16" i="3"/>
  <c r="E23" i="35" s="1"/>
  <c r="F23" i="35" s="1"/>
  <c r="D54" i="3"/>
  <c r="P72" i="3"/>
  <c r="N72" i="3"/>
  <c r="N74" i="3"/>
  <c r="N73" i="3"/>
  <c r="P75" i="3"/>
  <c r="N75" i="3"/>
  <c r="P71" i="3"/>
  <c r="P74" i="3"/>
  <c r="P73" i="3"/>
  <c r="N71" i="3"/>
  <c r="Q69" i="3"/>
  <c r="O71" i="3" s="1"/>
  <c r="E67" i="3"/>
  <c r="P69" i="3"/>
  <c r="D47" i="3"/>
  <c r="F19" i="3"/>
  <c r="M27" i="18"/>
  <c r="E27" i="18" s="1"/>
  <c r="E25" i="35" l="1"/>
  <c r="F25" i="35" s="1"/>
  <c r="M71" i="3"/>
  <c r="O75" i="3"/>
  <c r="M75" i="3" s="1"/>
  <c r="F75" i="3" s="1"/>
  <c r="O74" i="3"/>
  <c r="M74" i="3" s="1"/>
  <c r="F74" i="3" s="1"/>
  <c r="O73" i="3"/>
  <c r="M73" i="3" s="1"/>
  <c r="F73" i="3" s="1"/>
  <c r="O72" i="3"/>
  <c r="M72" i="3" s="1"/>
  <c r="F72" i="3" s="1"/>
  <c r="M24" i="18"/>
  <c r="D24" i="18" s="1"/>
  <c r="M23" i="18"/>
  <c r="M22" i="18"/>
  <c r="C110" i="18"/>
  <c r="M110" i="18"/>
  <c r="M101" i="18"/>
  <c r="M100" i="18"/>
  <c r="D100" i="18" s="1"/>
  <c r="M99" i="18"/>
  <c r="D99" i="18" s="1"/>
  <c r="M98" i="18"/>
  <c r="M96" i="18"/>
  <c r="D96" i="18" s="1"/>
  <c r="M95" i="18"/>
  <c r="D95" i="18" s="1"/>
  <c r="M94" i="18"/>
  <c r="D94" i="18" s="1"/>
  <c r="C101" i="18"/>
  <c r="C100" i="18"/>
  <c r="C99" i="18"/>
  <c r="C98" i="18"/>
  <c r="C96" i="18"/>
  <c r="C95" i="18"/>
  <c r="C94" i="18"/>
  <c r="C93" i="18"/>
  <c r="N101" i="18"/>
  <c r="N100" i="18"/>
  <c r="N99" i="18"/>
  <c r="N98" i="18"/>
  <c r="N96" i="18"/>
  <c r="N95" i="18"/>
  <c r="N94" i="18"/>
  <c r="N93" i="18"/>
  <c r="M93" i="18"/>
  <c r="R101" i="18"/>
  <c r="R100" i="18"/>
  <c r="R99" i="18"/>
  <c r="R98" i="18"/>
  <c r="R96" i="18"/>
  <c r="R95" i="18"/>
  <c r="R94" i="18"/>
  <c r="R93" i="18"/>
  <c r="C90" i="18"/>
  <c r="C89" i="18"/>
  <c r="C88" i="18"/>
  <c r="C87" i="18"/>
  <c r="N87" i="18"/>
  <c r="N88" i="18"/>
  <c r="M90" i="18"/>
  <c r="M89" i="18"/>
  <c r="M87" i="18"/>
  <c r="N90" i="18"/>
  <c r="N89" i="18"/>
  <c r="R76" i="18"/>
  <c r="V76" i="18" s="1"/>
  <c r="R78" i="18"/>
  <c r="T78" i="18" s="1"/>
  <c r="R77" i="18"/>
  <c r="U77" i="18" s="1"/>
  <c r="Q68" i="18"/>
  <c r="C68" i="18"/>
  <c r="N68" i="18"/>
  <c r="N63" i="18"/>
  <c r="S63" i="18" s="1"/>
  <c r="R63" i="18"/>
  <c r="C63" i="18" s="1"/>
  <c r="C62" i="18"/>
  <c r="C61" i="18"/>
  <c r="C60" i="18"/>
  <c r="C59" i="18"/>
  <c r="C58" i="18"/>
  <c r="C57" i="18"/>
  <c r="C56" i="18"/>
  <c r="C55" i="18"/>
  <c r="C54" i="18"/>
  <c r="C53" i="18"/>
  <c r="C52" i="18"/>
  <c r="N62" i="18"/>
  <c r="N61" i="18"/>
  <c r="N60" i="18"/>
  <c r="N59" i="18"/>
  <c r="N58" i="18"/>
  <c r="N57" i="18"/>
  <c r="N56" i="18"/>
  <c r="N55" i="18"/>
  <c r="N54" i="18"/>
  <c r="N53" i="18"/>
  <c r="N52" i="18"/>
  <c r="C45" i="18"/>
  <c r="Q40" i="18"/>
  <c r="Q39" i="18"/>
  <c r="Q38" i="18"/>
  <c r="Q37" i="18"/>
  <c r="N40" i="18"/>
  <c r="N39" i="18"/>
  <c r="N38" i="18"/>
  <c r="N37" i="18"/>
  <c r="M40" i="18"/>
  <c r="E40" i="18" s="1"/>
  <c r="M39" i="18"/>
  <c r="E39" i="18" s="1"/>
  <c r="M38" i="18"/>
  <c r="E38" i="18" s="1"/>
  <c r="M37" i="18"/>
  <c r="E37" i="18" s="1"/>
  <c r="C40" i="18"/>
  <c r="C39" i="18"/>
  <c r="C38" i="18"/>
  <c r="C37" i="18"/>
  <c r="M31" i="18"/>
  <c r="E31" i="18" s="1"/>
  <c r="M30" i="18"/>
  <c r="E30" i="18" s="1"/>
  <c r="M29" i="18"/>
  <c r="E29" i="18" s="1"/>
  <c r="M28" i="18"/>
  <c r="E28" i="18" s="1"/>
  <c r="S52" i="18" l="1"/>
  <c r="B42" i="18"/>
  <c r="M88" i="18"/>
  <c r="E88" i="18" s="1"/>
  <c r="N104" i="18"/>
  <c r="M104" i="18"/>
  <c r="D104" i="18" s="1"/>
  <c r="S68" i="18"/>
  <c r="B71" i="18" s="1"/>
  <c r="M53" i="18"/>
  <c r="F53" i="18" s="1"/>
  <c r="S53" i="18"/>
  <c r="M61" i="18"/>
  <c r="F61" i="18" s="1"/>
  <c r="S61" i="18"/>
  <c r="M54" i="18"/>
  <c r="F54" i="18" s="1"/>
  <c r="S54" i="18"/>
  <c r="M58" i="18"/>
  <c r="F58" i="18" s="1"/>
  <c r="S58" i="18"/>
  <c r="M56" i="18"/>
  <c r="F56" i="18" s="1"/>
  <c r="S56" i="18"/>
  <c r="M60" i="18"/>
  <c r="F60" i="18" s="1"/>
  <c r="S60" i="18"/>
  <c r="M57" i="18"/>
  <c r="F57" i="18" s="1"/>
  <c r="S57" i="18"/>
  <c r="M55" i="18"/>
  <c r="F55" i="18" s="1"/>
  <c r="S55" i="18"/>
  <c r="M59" i="18"/>
  <c r="F59" i="18" s="1"/>
  <c r="S59" i="18"/>
  <c r="M62" i="18"/>
  <c r="S62" i="18"/>
  <c r="M63" i="18"/>
  <c r="F63" i="18" s="1"/>
  <c r="M77" i="3"/>
  <c r="E26" i="35" s="1"/>
  <c r="F26" i="35" s="1"/>
  <c r="D110" i="18"/>
  <c r="M111" i="18"/>
  <c r="E21" i="35" s="1"/>
  <c r="F21" i="35" s="1"/>
  <c r="F71" i="3"/>
  <c r="M52" i="18"/>
  <c r="M68" i="18"/>
  <c r="F68" i="18" s="1"/>
  <c r="D98" i="18"/>
  <c r="E90" i="18"/>
  <c r="E89" i="18"/>
  <c r="E87" i="18"/>
  <c r="E76" i="18"/>
  <c r="D76" i="18"/>
  <c r="C76" i="18"/>
  <c r="S78" i="18"/>
  <c r="U78" i="18"/>
  <c r="T76" i="18"/>
  <c r="S76" i="18"/>
  <c r="U76" i="18"/>
  <c r="V77" i="18"/>
  <c r="S77" i="18"/>
  <c r="V78" i="18"/>
  <c r="T77" i="18"/>
  <c r="R79" i="18"/>
  <c r="R81" i="18" s="1"/>
  <c r="D28" i="20"/>
  <c r="D17" i="20"/>
  <c r="D76" i="20"/>
  <c r="D75" i="20"/>
  <c r="D74" i="20"/>
  <c r="P76" i="20"/>
  <c r="M76" i="20" s="1"/>
  <c r="G76" i="20" s="1"/>
  <c r="P75" i="20"/>
  <c r="P74" i="20"/>
  <c r="T53" i="20"/>
  <c r="D23" i="18"/>
  <c r="R15" i="18"/>
  <c r="Q9" i="18"/>
  <c r="C9" i="18" s="1"/>
  <c r="N39" i="20"/>
  <c r="O39" i="20"/>
  <c r="Q39" i="20"/>
  <c r="R39" i="20"/>
  <c r="T39" i="20"/>
  <c r="T48" i="20"/>
  <c r="T47" i="20"/>
  <c r="T46" i="20"/>
  <c r="T45" i="20"/>
  <c r="T44" i="20"/>
  <c r="T43" i="20"/>
  <c r="T42" i="20"/>
  <c r="T41" i="20"/>
  <c r="T40" i="20"/>
  <c r="F62" i="18" l="1"/>
  <c r="M71" i="18"/>
  <c r="E19" i="35" s="1"/>
  <c r="F19" i="35" s="1"/>
  <c r="B65" i="18"/>
  <c r="M75" i="20"/>
  <c r="G75" i="20" s="1"/>
  <c r="P77" i="20"/>
  <c r="M74" i="20"/>
  <c r="G74" i="20" s="1"/>
  <c r="M82" i="18"/>
  <c r="F82" i="18" s="1"/>
  <c r="M39" i="20"/>
  <c r="F52" i="18"/>
  <c r="R9" i="18"/>
  <c r="U79" i="18"/>
  <c r="S79" i="18"/>
  <c r="T79" i="18"/>
  <c r="V79" i="18"/>
  <c r="F79" i="18" s="1"/>
  <c r="D21" i="18"/>
  <c r="D22" i="18"/>
  <c r="S9" i="18"/>
  <c r="M20" i="18" s="1"/>
  <c r="R48" i="20"/>
  <c r="Q48" i="20"/>
  <c r="O48" i="20"/>
  <c r="N48" i="20"/>
  <c r="R47" i="20"/>
  <c r="Q47" i="20"/>
  <c r="O47" i="20"/>
  <c r="N47" i="20"/>
  <c r="R46" i="20"/>
  <c r="Q46" i="20"/>
  <c r="O46" i="20"/>
  <c r="N46" i="20"/>
  <c r="R45" i="20"/>
  <c r="Q45" i="20"/>
  <c r="O45" i="20"/>
  <c r="N45" i="20"/>
  <c r="R44" i="20"/>
  <c r="Q44" i="20"/>
  <c r="O44" i="20"/>
  <c r="N44" i="20"/>
  <c r="R43" i="20"/>
  <c r="Q43" i="20"/>
  <c r="O43" i="20"/>
  <c r="N43" i="20"/>
  <c r="R42" i="20"/>
  <c r="Q42" i="20"/>
  <c r="O42" i="20"/>
  <c r="N42" i="20"/>
  <c r="R41" i="20"/>
  <c r="Q41" i="20"/>
  <c r="O41" i="20"/>
  <c r="N41" i="20"/>
  <c r="R40" i="20"/>
  <c r="Q40" i="20"/>
  <c r="O40" i="20"/>
  <c r="N40" i="20"/>
  <c r="P31" i="20"/>
  <c r="B33" i="20" l="1"/>
  <c r="F31" i="20"/>
  <c r="G39" i="20"/>
  <c r="M46" i="18"/>
  <c r="E18" i="35" s="1"/>
  <c r="F18" i="35" s="1"/>
  <c r="M77" i="20"/>
  <c r="G77" i="20" s="1"/>
  <c r="B79" i="20"/>
  <c r="M40" i="20"/>
  <c r="G40" i="20" s="1"/>
  <c r="M44" i="20"/>
  <c r="G44" i="20" s="1"/>
  <c r="M48" i="20"/>
  <c r="G48" i="20" s="1"/>
  <c r="M41" i="20"/>
  <c r="G41" i="20" s="1"/>
  <c r="M45" i="20"/>
  <c r="G45" i="20" s="1"/>
  <c r="M42" i="20"/>
  <c r="G42" i="20" s="1"/>
  <c r="M46" i="20"/>
  <c r="G46" i="20" s="1"/>
  <c r="M43" i="20"/>
  <c r="G43" i="20" s="1"/>
  <c r="M47" i="20"/>
  <c r="G47" i="20" s="1"/>
  <c r="F76" i="18"/>
  <c r="M76" i="18"/>
  <c r="F78" i="18"/>
  <c r="M78" i="18"/>
  <c r="M79" i="18"/>
  <c r="F77" i="18"/>
  <c r="M77" i="18"/>
  <c r="D20" i="18"/>
  <c r="AA26" i="20"/>
  <c r="S26" i="20" s="1"/>
  <c r="X26" i="20"/>
  <c r="R26" i="20" s="1"/>
  <c r="U26" i="20"/>
  <c r="Q26" i="20"/>
  <c r="P26" i="20"/>
  <c r="N26" i="20"/>
  <c r="AA25" i="20"/>
  <c r="S25" i="20" s="1"/>
  <c r="X25" i="20"/>
  <c r="R25" i="20" s="1"/>
  <c r="U25" i="20"/>
  <c r="Q25" i="20"/>
  <c r="P25" i="20"/>
  <c r="N25" i="20"/>
  <c r="AA24" i="20"/>
  <c r="S24" i="20" s="1"/>
  <c r="X24" i="20"/>
  <c r="R24" i="20" s="1"/>
  <c r="U24" i="20"/>
  <c r="Q24" i="20"/>
  <c r="P24" i="20"/>
  <c r="N24" i="20"/>
  <c r="AA23" i="20"/>
  <c r="X23" i="20"/>
  <c r="U23" i="20"/>
  <c r="Q23" i="20"/>
  <c r="P23" i="20"/>
  <c r="N23" i="20"/>
  <c r="H20" i="20"/>
  <c r="U15" i="20"/>
  <c r="U13" i="20"/>
  <c r="U12" i="20"/>
  <c r="H9" i="20"/>
  <c r="AA15" i="20"/>
  <c r="S15" i="20" s="1"/>
  <c r="X15" i="20"/>
  <c r="R15" i="20" s="1"/>
  <c r="Q15" i="20"/>
  <c r="P15" i="20"/>
  <c r="O15" i="20"/>
  <c r="N15" i="20"/>
  <c r="AA14" i="20"/>
  <c r="S14" i="20" s="1"/>
  <c r="X14" i="20"/>
  <c r="R14" i="20" s="1"/>
  <c r="Q14" i="20"/>
  <c r="P14" i="20"/>
  <c r="O14" i="20"/>
  <c r="N14" i="20"/>
  <c r="AA13" i="20"/>
  <c r="S13" i="20" s="1"/>
  <c r="X13" i="20"/>
  <c r="R13" i="20" s="1"/>
  <c r="Q13" i="20"/>
  <c r="P13" i="20"/>
  <c r="O13" i="20"/>
  <c r="N13" i="20"/>
  <c r="AA12" i="20"/>
  <c r="X12" i="20"/>
  <c r="O12" i="20"/>
  <c r="Q12" i="20"/>
  <c r="P12" i="20"/>
  <c r="N12" i="20"/>
  <c r="M79" i="20" l="1"/>
  <c r="M26" i="20"/>
  <c r="T26" i="20"/>
  <c r="H26" i="20" s="1"/>
  <c r="T25" i="20"/>
  <c r="H25" i="20" s="1"/>
  <c r="M25" i="20"/>
  <c r="M24" i="20"/>
  <c r="T24" i="20"/>
  <c r="H24" i="20" s="1"/>
  <c r="M15" i="20"/>
  <c r="H15" i="20" s="1"/>
  <c r="M14" i="20"/>
  <c r="H14" i="20" s="1"/>
  <c r="M13" i="20"/>
  <c r="H13" i="20" s="1"/>
  <c r="M107" i="18"/>
  <c r="E20" i="35" s="1"/>
  <c r="F20" i="35" s="1"/>
  <c r="R23" i="20"/>
  <c r="S23" i="20"/>
  <c r="S12" i="20"/>
  <c r="R12" i="20"/>
  <c r="B114" i="18" l="1"/>
  <c r="M12" i="20"/>
  <c r="M17" i="20" s="1"/>
  <c r="E14" i="35" s="1"/>
  <c r="F14" i="35" s="1"/>
  <c r="T23" i="20"/>
  <c r="H23" i="20" s="1"/>
  <c r="M23" i="20"/>
  <c r="M33" i="20" s="1"/>
  <c r="E15" i="35" s="1"/>
  <c r="F15" i="35" s="1"/>
  <c r="Q165" i="26"/>
  <c r="Q163" i="26"/>
  <c r="Q162" i="26"/>
  <c r="Q161" i="26"/>
  <c r="Q160" i="26"/>
  <c r="Q159" i="26"/>
  <c r="Q157" i="26"/>
  <c r="P150" i="26"/>
  <c r="B154" i="26" s="1"/>
  <c r="H12" i="20" l="1"/>
  <c r="M165" i="26"/>
  <c r="D165" i="26" s="1"/>
  <c r="M158" i="26"/>
  <c r="M173" i="26"/>
  <c r="D173" i="26" s="1"/>
  <c r="M152" i="26"/>
  <c r="D152" i="26" s="1"/>
  <c r="M172" i="26"/>
  <c r="D172" i="26" s="1"/>
  <c r="M151" i="26"/>
  <c r="D158" i="26" l="1"/>
  <c r="D151" i="26"/>
  <c r="P131" i="26"/>
  <c r="B139" i="26" s="1"/>
  <c r="M133" i="26" l="1"/>
  <c r="D133" i="26" s="1"/>
  <c r="M132" i="26"/>
  <c r="M138" i="26" s="1"/>
  <c r="E10" i="35" s="1"/>
  <c r="F10" i="35" s="1"/>
  <c r="D136" i="26"/>
  <c r="D137" i="26"/>
  <c r="B90" i="26"/>
  <c r="D132" i="26" l="1"/>
  <c r="D9" i="26"/>
  <c r="E39" i="22" l="1"/>
  <c r="E40" i="22" l="1"/>
  <c r="M70" i="22" l="1"/>
  <c r="E70" i="22" s="1"/>
  <c r="M68" i="22"/>
  <c r="E68" i="22" s="1"/>
  <c r="M66" i="22"/>
  <c r="E66" i="22" s="1"/>
  <c r="M64" i="22"/>
  <c r="M50" i="22"/>
  <c r="E50" i="22" s="1"/>
  <c r="M48" i="22"/>
  <c r="E48" i="22" s="1"/>
  <c r="M46" i="22"/>
  <c r="E46" i="22" s="1"/>
  <c r="M44" i="22"/>
  <c r="M32" i="22"/>
  <c r="E32" i="22" s="1"/>
  <c r="M30" i="22"/>
  <c r="E30" i="22" s="1"/>
  <c r="M28" i="22"/>
  <c r="M26" i="22"/>
  <c r="M71" i="22" l="1"/>
  <c r="E36" i="35" s="1"/>
  <c r="F36" i="35" s="1"/>
  <c r="M52" i="22"/>
  <c r="E35" i="35" s="1"/>
  <c r="F35" i="35" s="1"/>
  <c r="E28" i="22"/>
  <c r="M34" i="22"/>
  <c r="E34" i="35" s="1"/>
  <c r="F34" i="35" s="1"/>
  <c r="N50" i="22"/>
  <c r="E64" i="22"/>
  <c r="E44" i="22"/>
  <c r="E26" i="22"/>
  <c r="M33" i="22" l="1"/>
  <c r="B76" i="22" s="1"/>
  <c r="Q94" i="26" l="1"/>
  <c r="M96" i="26" s="1"/>
  <c r="M94" i="26" l="1"/>
  <c r="D94" i="26" s="1"/>
  <c r="C94" i="26"/>
  <c r="G19" i="3" l="1"/>
  <c r="C75" i="26" l="1"/>
  <c r="D68" i="26" l="1"/>
  <c r="D39" i="3" l="1"/>
  <c r="M39" i="3" l="1"/>
  <c r="B41" i="3"/>
  <c r="E39" i="3" l="1"/>
  <c r="M41" i="3"/>
  <c r="E24" i="35" s="1"/>
  <c r="F24" i="35" s="1"/>
  <c r="C159" i="26" l="1"/>
  <c r="M90" i="26"/>
  <c r="D90" i="26" s="1"/>
  <c r="P75" i="26"/>
  <c r="M82" i="26" s="1"/>
  <c r="Q166" i="26"/>
  <c r="C166" i="26"/>
  <c r="C165" i="26"/>
  <c r="C163" i="26"/>
  <c r="C162" i="26"/>
  <c r="C161" i="26"/>
  <c r="C160" i="26"/>
  <c r="C157" i="26"/>
  <c r="P111" i="26"/>
  <c r="M114" i="26" s="1"/>
  <c r="C111" i="26"/>
  <c r="C150" i="26"/>
  <c r="M147" i="26"/>
  <c r="F147" i="26" s="1"/>
  <c r="M145" i="26"/>
  <c r="F145" i="26" s="1"/>
  <c r="M144" i="26"/>
  <c r="F144" i="26" s="1"/>
  <c r="M143" i="26"/>
  <c r="F143" i="26" s="1"/>
  <c r="M142" i="26"/>
  <c r="C131" i="26"/>
  <c r="P104" i="26"/>
  <c r="C104" i="26"/>
  <c r="M88" i="26"/>
  <c r="D88" i="26" s="1"/>
  <c r="P59" i="26"/>
  <c r="C59" i="26"/>
  <c r="M55" i="26"/>
  <c r="D55" i="26" s="1"/>
  <c r="M52" i="26"/>
  <c r="D52" i="26" s="1"/>
  <c r="M51" i="26"/>
  <c r="M10" i="26"/>
  <c r="M11" i="26" s="1"/>
  <c r="E6" i="35" l="1"/>
  <c r="F6" i="35" s="1"/>
  <c r="F142" i="26"/>
  <c r="M154" i="26"/>
  <c r="E11" i="35" s="1"/>
  <c r="F11" i="35" s="1"/>
  <c r="D114" i="26"/>
  <c r="M118" i="26"/>
  <c r="E9" i="35" s="1"/>
  <c r="F9" i="35" s="1"/>
  <c r="Q170" i="26"/>
  <c r="M166" i="26"/>
  <c r="B108" i="26"/>
  <c r="M106" i="26"/>
  <c r="D106" i="26" s="1"/>
  <c r="M105" i="26"/>
  <c r="D105" i="26" s="1"/>
  <c r="M85" i="26"/>
  <c r="D85" i="26" s="1"/>
  <c r="M83" i="26"/>
  <c r="D83" i="26" s="1"/>
  <c r="D82" i="26"/>
  <c r="D51" i="26"/>
  <c r="Q167" i="26"/>
  <c r="D10" i="26"/>
  <c r="M79" i="26"/>
  <c r="D79" i="26" s="1"/>
  <c r="M78" i="26"/>
  <c r="D78" i="26" s="1"/>
  <c r="M65" i="26"/>
  <c r="D65" i="26" s="1"/>
  <c r="M77" i="26"/>
  <c r="D77" i="26" s="1"/>
  <c r="D96" i="26"/>
  <c r="M61" i="26"/>
  <c r="M62" i="26"/>
  <c r="D62" i="26" s="1"/>
  <c r="D166" i="26" l="1"/>
  <c r="D61" i="26"/>
  <c r="M108" i="26"/>
  <c r="M171" i="26"/>
  <c r="M175" i="26" s="1"/>
  <c r="R171" i="26"/>
  <c r="D171" i="26" s="1"/>
  <c r="E8" i="35" l="1"/>
  <c r="F8" i="35" s="1"/>
  <c r="B177" i="26"/>
  <c r="E77" i="3"/>
  <c r="E42" i="4" l="1"/>
  <c r="E28" i="4"/>
  <c r="D15" i="3" l="1"/>
  <c r="BV3" i="14" l="1"/>
  <c r="AQ7" i="14" l="1"/>
  <c r="AS7" i="14" s="1"/>
  <c r="AQ6" i="14"/>
  <c r="AS6" i="14" s="1"/>
  <c r="AQ5" i="14"/>
  <c r="AS5" i="14" s="1"/>
  <c r="AQ4" i="14"/>
  <c r="AS4" i="14" s="1"/>
  <c r="AQ3" i="14"/>
  <c r="AR6" i="14" l="1"/>
  <c r="AR4" i="14"/>
  <c r="AR5" i="14"/>
  <c r="AR3" i="14"/>
  <c r="AR7" i="14"/>
  <c r="AS3" i="14"/>
  <c r="AS2" i="14"/>
  <c r="AV4" i="14" l="1"/>
  <c r="AT5" i="14"/>
  <c r="AU5" i="14" s="1"/>
  <c r="AT6" i="14"/>
  <c r="AU6" i="14" s="1"/>
  <c r="AV7" i="14"/>
  <c r="AV3" i="14"/>
  <c r="AT4" i="14"/>
  <c r="AU4" i="14" s="1"/>
  <c r="AV6" i="14"/>
  <c r="AT7" i="14"/>
  <c r="AU7" i="14" s="1"/>
  <c r="AT3" i="14"/>
  <c r="AU3" i="14" s="1"/>
  <c r="AV5" i="14"/>
  <c r="AR9" i="14"/>
  <c r="AR12" i="14" s="1"/>
  <c r="AT10" i="14"/>
  <c r="F85" i="3" l="1"/>
  <c r="M85" i="3" s="1"/>
  <c r="F84" i="3"/>
  <c r="M84" i="3" s="1"/>
  <c r="F83" i="3"/>
  <c r="M83" i="3" s="1"/>
  <c r="F82" i="3"/>
  <c r="M82" i="3" s="1"/>
  <c r="F81" i="3"/>
  <c r="M81" i="3" s="1"/>
  <c r="AU9" i="14"/>
  <c r="AT9" i="14"/>
  <c r="AT12" i="14" s="1"/>
  <c r="AU12" i="14" s="1"/>
  <c r="M92" i="3" l="1"/>
  <c r="E27" i="35" s="1"/>
  <c r="B128" i="3" l="1"/>
  <c r="F27" i="35"/>
  <c r="D93" i="18"/>
  <c r="D101" i="18"/>
  <c r="E29" i="3" l="1"/>
  <c r="E14" i="4" l="1"/>
  <c r="G36" i="20" l="1"/>
  <c r="E12" i="35" l="1"/>
  <c r="F12" i="35" l="1"/>
  <c r="B81" i="20"/>
  <c r="E16" i="35"/>
  <c r="F16" i="35" s="1"/>
  <c r="E38" i="35" l="1"/>
  <c r="E4" i="35" s="1"/>
</calcChain>
</file>

<file path=xl/sharedStrings.xml><?xml version="1.0" encoding="utf-8"?>
<sst xmlns="http://schemas.openxmlformats.org/spreadsheetml/2006/main" count="1129" uniqueCount="857">
  <si>
    <t>Frequency</t>
  </si>
  <si>
    <t>Inherent Risk</t>
  </si>
  <si>
    <t>Risk Rating</t>
  </si>
  <si>
    <t>Customer</t>
  </si>
  <si>
    <t>Geography</t>
  </si>
  <si>
    <t>Distribution</t>
  </si>
  <si>
    <t>Overall Firm</t>
  </si>
  <si>
    <t>Board/ Principals</t>
  </si>
  <si>
    <t>Senior Management</t>
  </si>
  <si>
    <t>Other Staff</t>
  </si>
  <si>
    <t>Training</t>
  </si>
  <si>
    <t>Date Training to be provided</t>
  </si>
  <si>
    <t>Training Provider</t>
  </si>
  <si>
    <t>Training Format</t>
  </si>
  <si>
    <t xml:space="preserve">Internal – In-house training </t>
  </si>
  <si>
    <t>Online</t>
  </si>
  <si>
    <t>Internal – Parent/group training</t>
  </si>
  <si>
    <t>Presentations/seminars</t>
  </si>
  <si>
    <t>External – Unrelated party</t>
  </si>
  <si>
    <t>External – Related party</t>
  </si>
  <si>
    <t>No. of Services</t>
  </si>
  <si>
    <t>Ultra High</t>
  </si>
  <si>
    <t>High</t>
  </si>
  <si>
    <t>Medium High</t>
  </si>
  <si>
    <t>Medium Low</t>
  </si>
  <si>
    <t>Low</t>
  </si>
  <si>
    <t>Total No.</t>
  </si>
  <si>
    <t>No. of Customers</t>
  </si>
  <si>
    <t>Of which are PEPs</t>
  </si>
  <si>
    <t xml:space="preserve">Ultra High </t>
  </si>
  <si>
    <t>Customer Types</t>
  </si>
  <si>
    <t>PEPs</t>
  </si>
  <si>
    <t>Restricted to Ireland only</t>
  </si>
  <si>
    <t>Top 5 Ranking</t>
  </si>
  <si>
    <t>Country</t>
  </si>
  <si>
    <t>Proposed Distribution Channel(s)</t>
  </si>
  <si>
    <t>Rank in order of priority</t>
  </si>
  <si>
    <t>Assurance Testing</t>
  </si>
  <si>
    <t>Third Party Reliance</t>
  </si>
  <si>
    <t>Date</t>
  </si>
  <si>
    <t>Outsourcing</t>
  </si>
  <si>
    <t>Address Line 1</t>
  </si>
  <si>
    <t>Address Line 2</t>
  </si>
  <si>
    <t>Address Line 3</t>
  </si>
  <si>
    <t>Address Line 4</t>
  </si>
  <si>
    <t>Eircode</t>
  </si>
  <si>
    <t>Daily</t>
  </si>
  <si>
    <t>Weekly</t>
  </si>
  <si>
    <t>Monthly</t>
  </si>
  <si>
    <t>Quarterly</t>
  </si>
  <si>
    <t>Half Yearly</t>
  </si>
  <si>
    <t>Annually</t>
  </si>
  <si>
    <t>Other (Please state below)</t>
  </si>
  <si>
    <t>Yes</t>
  </si>
  <si>
    <t>No</t>
  </si>
  <si>
    <t>Incomplete</t>
  </si>
  <si>
    <t>Y_N</t>
  </si>
  <si>
    <t>Risk</t>
  </si>
  <si>
    <t>RA not completed</t>
  </si>
  <si>
    <t>N/A</t>
  </si>
  <si>
    <t>YNN</t>
  </si>
  <si>
    <t>Frequency1</t>
  </si>
  <si>
    <t>Ad Hoc</t>
  </si>
  <si>
    <t>Workshops</t>
  </si>
  <si>
    <t>Afghanistan</t>
  </si>
  <si>
    <t>Albania</t>
  </si>
  <si>
    <t>Algeria</t>
  </si>
  <si>
    <t>American Samoa</t>
  </si>
  <si>
    <t>Andorra</t>
  </si>
  <si>
    <t>Angola</t>
  </si>
  <si>
    <t>Anguilla</t>
  </si>
  <si>
    <t>Antarctica</t>
  </si>
  <si>
    <t>Antigua And Barbuda</t>
  </si>
  <si>
    <t>Argentina</t>
  </si>
  <si>
    <t>Armenia</t>
  </si>
  <si>
    <t>Aruba</t>
  </si>
  <si>
    <t>Australia</t>
  </si>
  <si>
    <t>Austria (EEA)</t>
  </si>
  <si>
    <t>Azerbaijan</t>
  </si>
  <si>
    <t>Bahamas</t>
  </si>
  <si>
    <t>Bahrain</t>
  </si>
  <si>
    <t>Bangladesh</t>
  </si>
  <si>
    <t>Barbados</t>
  </si>
  <si>
    <t>Belarus</t>
  </si>
  <si>
    <t>Belgium (EEA)</t>
  </si>
  <si>
    <t>Belize</t>
  </si>
  <si>
    <t>Benin</t>
  </si>
  <si>
    <t>Bermuda</t>
  </si>
  <si>
    <t>Bhutan</t>
  </si>
  <si>
    <t>Bolivia</t>
  </si>
  <si>
    <t>Bosnia And Herzegovina</t>
  </si>
  <si>
    <t>Botswana</t>
  </si>
  <si>
    <t>Bouvet Island</t>
  </si>
  <si>
    <t>Brazil</t>
  </si>
  <si>
    <t>British Indian Ocean Territory</t>
  </si>
  <si>
    <t>Brunei Darussalam</t>
  </si>
  <si>
    <t xml:space="preserve">Bulgaria (EEA) </t>
  </si>
  <si>
    <t>Burkina Faso</t>
  </si>
  <si>
    <t>Burma</t>
  </si>
  <si>
    <t>Burundi</t>
  </si>
  <si>
    <t>Cambodia</t>
  </si>
  <si>
    <t>Cameroon</t>
  </si>
  <si>
    <t>Canada</t>
  </si>
  <si>
    <t>Cape Verde</t>
  </si>
  <si>
    <t>Cayman Islands</t>
  </si>
  <si>
    <t>Central African Republic</t>
  </si>
  <si>
    <t>Ceuta</t>
  </si>
  <si>
    <t>Chad</t>
  </si>
  <si>
    <t>Chile</t>
  </si>
  <si>
    <t>China</t>
  </si>
  <si>
    <t>Christmas Island</t>
  </si>
  <si>
    <t>Cocos (Keeling) Islands</t>
  </si>
  <si>
    <t>Colombia</t>
  </si>
  <si>
    <t>Comoros</t>
  </si>
  <si>
    <t>Congo</t>
  </si>
  <si>
    <t>Cook Islands</t>
  </si>
  <si>
    <t>Costa Rica</t>
  </si>
  <si>
    <t>Cote D'Ivoire</t>
  </si>
  <si>
    <t>Croatia (EEA)</t>
  </si>
  <si>
    <t>Cuba</t>
  </si>
  <si>
    <t>Cyprus (Republic of) (EEA)</t>
  </si>
  <si>
    <t>Czech Republic (EEA)</t>
  </si>
  <si>
    <t>Democratic Republic Of Congo</t>
  </si>
  <si>
    <t>Denmark (EEA)</t>
  </si>
  <si>
    <t>Djibouti</t>
  </si>
  <si>
    <t>Dominica</t>
  </si>
  <si>
    <t>Dominican Republic</t>
  </si>
  <si>
    <t>Ecuador</t>
  </si>
  <si>
    <t>Egypt</t>
  </si>
  <si>
    <t>El Salvador</t>
  </si>
  <si>
    <t>Equatorial Guinea</t>
  </si>
  <si>
    <t>Eritrea</t>
  </si>
  <si>
    <t>Estonia (EEA)</t>
  </si>
  <si>
    <t>Ethiopia</t>
  </si>
  <si>
    <t>Falkland Islands</t>
  </si>
  <si>
    <t>Faroe Islands</t>
  </si>
  <si>
    <t>Fiji</t>
  </si>
  <si>
    <t>Finland (EEA)</t>
  </si>
  <si>
    <t>France (EEA)</t>
  </si>
  <si>
    <t>French Guiana</t>
  </si>
  <si>
    <t>French Polynesia</t>
  </si>
  <si>
    <t>French Southern And Antarctic Lands</t>
  </si>
  <si>
    <t>Gabon</t>
  </si>
  <si>
    <t>Gambia</t>
  </si>
  <si>
    <t>Gaza Strip</t>
  </si>
  <si>
    <t>Georgia</t>
  </si>
  <si>
    <t>Germany (EEA)</t>
  </si>
  <si>
    <t>Ghana</t>
  </si>
  <si>
    <t>Gibraltar</t>
  </si>
  <si>
    <t>Greece (EEA)</t>
  </si>
  <si>
    <t>Greenland</t>
  </si>
  <si>
    <t>Grenada</t>
  </si>
  <si>
    <t>Guadeloupe</t>
  </si>
  <si>
    <t>Guam</t>
  </si>
  <si>
    <t>Guatemala</t>
  </si>
  <si>
    <t>Guernsey</t>
  </si>
  <si>
    <t>Guinea</t>
  </si>
  <si>
    <t>Guinea-Bissau</t>
  </si>
  <si>
    <t>Guyana</t>
  </si>
  <si>
    <t>Haiti</t>
  </si>
  <si>
    <t>Honduras</t>
  </si>
  <si>
    <t>Hong Kong</t>
  </si>
  <si>
    <t>Hungary (EEA)</t>
  </si>
  <si>
    <t>Iceland</t>
  </si>
  <si>
    <t>India</t>
  </si>
  <si>
    <t>Indonesia</t>
  </si>
  <si>
    <t>Iran</t>
  </si>
  <si>
    <t>Iraq</t>
  </si>
  <si>
    <t>Ireland</t>
  </si>
  <si>
    <t>Isle of Man</t>
  </si>
  <si>
    <t>Israel</t>
  </si>
  <si>
    <t>Italy (EEA)</t>
  </si>
  <si>
    <t>Jamaica</t>
  </si>
  <si>
    <t>Japan</t>
  </si>
  <si>
    <t>Jersey</t>
  </si>
  <si>
    <t>Jordan</t>
  </si>
  <si>
    <t>Kazakhstan</t>
  </si>
  <si>
    <t>Kenya</t>
  </si>
  <si>
    <t>Kiribati</t>
  </si>
  <si>
    <t>Korea, Democratic People'S Republic Of (North)</t>
  </si>
  <si>
    <t>Korea, Republic Of (South)</t>
  </si>
  <si>
    <t>Kosovo</t>
  </si>
  <si>
    <t>Kuwait</t>
  </si>
  <si>
    <t>Kyrgyzstan</t>
  </si>
  <si>
    <t>Laos</t>
  </si>
  <si>
    <t>Latvia (EEA)</t>
  </si>
  <si>
    <t>Lebanon</t>
  </si>
  <si>
    <t>Lesotho</t>
  </si>
  <si>
    <t>Liberia</t>
  </si>
  <si>
    <t>Libya</t>
  </si>
  <si>
    <t>Liechtenstein</t>
  </si>
  <si>
    <t>Lithuania (EEA)</t>
  </si>
  <si>
    <t>Luxembourg (EEA)</t>
  </si>
  <si>
    <t>Macau</t>
  </si>
  <si>
    <t>Macedonia (The Former Yugoslav Republic Of)</t>
  </si>
  <si>
    <t>Madagascar</t>
  </si>
  <si>
    <t>Malawi</t>
  </si>
  <si>
    <t>Malaysia</t>
  </si>
  <si>
    <t>Maldives</t>
  </si>
  <si>
    <t>Mali</t>
  </si>
  <si>
    <t>Malta (EEA)</t>
  </si>
  <si>
    <t>Marshall Islands</t>
  </si>
  <si>
    <t>Martinique</t>
  </si>
  <si>
    <t>Mauritania</t>
  </si>
  <si>
    <t>Mauritius</t>
  </si>
  <si>
    <t>Mayotte</t>
  </si>
  <si>
    <t>Melilla</t>
  </si>
  <si>
    <t>Mexico</t>
  </si>
  <si>
    <t>Micronesia (Federated States Of)</t>
  </si>
  <si>
    <t>Moldova (The Republic Of)</t>
  </si>
  <si>
    <t>Monaco</t>
  </si>
  <si>
    <t>Mongolia</t>
  </si>
  <si>
    <t>Montenegro</t>
  </si>
  <si>
    <t>Montserrat</t>
  </si>
  <si>
    <t>Morocco</t>
  </si>
  <si>
    <t>Mozambique</t>
  </si>
  <si>
    <t>Myanmar</t>
  </si>
  <si>
    <t>Namibia</t>
  </si>
  <si>
    <t>Nauru</t>
  </si>
  <si>
    <t>Nepal</t>
  </si>
  <si>
    <t>Netherlands (EEA)</t>
  </si>
  <si>
    <t>Netherlands Antilles</t>
  </si>
  <si>
    <t>New Caledonia</t>
  </si>
  <si>
    <t>New Zealand</t>
  </si>
  <si>
    <t>Nicaragua</t>
  </si>
  <si>
    <t>Niger</t>
  </si>
  <si>
    <t>Nigeria</t>
  </si>
  <si>
    <t>Niue</t>
  </si>
  <si>
    <t>Norfolk Island</t>
  </si>
  <si>
    <t>Northern Mariana Islands</t>
  </si>
  <si>
    <t>Norway</t>
  </si>
  <si>
    <t>Oman</t>
  </si>
  <si>
    <t>Pakistan</t>
  </si>
  <si>
    <t>Palau</t>
  </si>
  <si>
    <t>Palestine</t>
  </si>
  <si>
    <t>Panama</t>
  </si>
  <si>
    <t>Papua New Guinea</t>
  </si>
  <si>
    <t>Paraguay</t>
  </si>
  <si>
    <t>Peru</t>
  </si>
  <si>
    <t>Philippines</t>
  </si>
  <si>
    <t>Pitcairn Islands</t>
  </si>
  <si>
    <t>Poland (EEA)</t>
  </si>
  <si>
    <t>Portugal (EEA)</t>
  </si>
  <si>
    <t>Qatar</t>
  </si>
  <si>
    <t>Romania (EEA)</t>
  </si>
  <si>
    <t>Russian Federation</t>
  </si>
  <si>
    <t>Rwanda</t>
  </si>
  <si>
    <t>Saint Barthelemy</t>
  </si>
  <si>
    <t>Saint Helena (Incl Ascension Island And Tristan De Cunha)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</si>
  <si>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</si>
  <si>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</si>
  <si>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</si>
  <si>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</si>
  <si>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</si>
  <si>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</si>
  <si>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</si>
  <si>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</si>
  <si>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</si>
  <si>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</si>
  <si>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</si>
  <si>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</si>
  <si>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</si>
  <si>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 (EEA)</t>
  </si>
  <si>
    <t>Slovenia (EEA)</t>
  </si>
  <si>
    <t>Solomon Islands</t>
  </si>
  <si>
    <t>Somalia</t>
  </si>
  <si>
    <t>South Africa</t>
  </si>
  <si>
    <t>South Georgia And The South Sandwich Islands</t>
  </si>
  <si>
    <t>South Sudan</t>
  </si>
  <si>
    <t>Spain (EEA)</t>
  </si>
  <si>
    <t>Sri Lanka</t>
  </si>
  <si>
    <t>Sudan</t>
  </si>
  <si>
    <t>Suriname</t>
  </si>
  <si>
    <t>Svalbard</t>
  </si>
  <si>
    <t>Swaziland</t>
  </si>
  <si>
    <t>Sweden (EEA)</t>
  </si>
  <si>
    <t>Switzerland</t>
  </si>
  <si>
    <t>Syria</t>
  </si>
  <si>
    <t>Taiwan</t>
  </si>
  <si>
    <t>Tajikistan</t>
  </si>
  <si>
    <t>Tanzania</t>
  </si>
  <si>
    <t>Thailand</t>
  </si>
  <si>
    <t>Timor Leste</t>
  </si>
  <si>
    <t>Togo</t>
  </si>
  <si>
    <t>Tokelau</t>
  </si>
  <si>
    <t>Tonga</t>
  </si>
  <si>
    <t>Trinidad And Tobago</t>
  </si>
  <si>
    <t>Tunisia</t>
  </si>
  <si>
    <t>Turkey</t>
  </si>
  <si>
    <t>Turkmenistan</t>
  </si>
  <si>
    <t>Turks And Caicos Islands</t>
  </si>
  <si>
    <t>Tuvalu</t>
  </si>
  <si>
    <t>Uganda</t>
  </si>
  <si>
    <t>Ukraine</t>
  </si>
  <si>
    <t>United Arab Emirates</t>
  </si>
  <si>
    <t>United States</t>
  </si>
  <si>
    <t>United States Minor Outlying Islands</t>
  </si>
  <si>
    <t>Uruguay</t>
  </si>
  <si>
    <t>Uzbekistan</t>
  </si>
  <si>
    <t>Vanuatu</t>
  </si>
  <si>
    <t>Vatican City State (Holy See)</t>
  </si>
  <si>
    <t>Venezuela</t>
  </si>
  <si>
    <t>Vietnam</t>
  </si>
  <si>
    <t>Virgin Islands (British)</t>
  </si>
  <si>
    <t>Virgin Islands (U.S.)</t>
  </si>
  <si>
    <t>Yemen</t>
  </si>
  <si>
    <t>Zambia</t>
  </si>
  <si>
    <t>Zimbabwe</t>
  </si>
  <si>
    <t>Channel</t>
  </si>
  <si>
    <t>Ranking</t>
  </si>
  <si>
    <t>Total</t>
  </si>
  <si>
    <t>FOSFOE</t>
  </si>
  <si>
    <t>FOE</t>
  </si>
  <si>
    <t>FOS</t>
  </si>
  <si>
    <t>FOE/FOS</t>
  </si>
  <si>
    <t>YN</t>
  </si>
  <si>
    <t>Group</t>
  </si>
  <si>
    <t>Group related party</t>
  </si>
  <si>
    <t>Non group related party</t>
  </si>
  <si>
    <t>FALSE FALSE</t>
  </si>
  <si>
    <t>TRUE FALSE</t>
  </si>
  <si>
    <t>FALSE TRUE</t>
  </si>
  <si>
    <t>TRUE TRUE</t>
  </si>
  <si>
    <t>Please select only one option</t>
  </si>
  <si>
    <t>FALSE FALSE FALSE</t>
  </si>
  <si>
    <t>TRUE FALSE FALSE</t>
  </si>
  <si>
    <t>FALSE TRUE FALSE</t>
  </si>
  <si>
    <t>FALSE FALSE TRUE</t>
  </si>
  <si>
    <t>TRUE TRUE FALSE</t>
  </si>
  <si>
    <t>TRUE FALSE TRUE</t>
  </si>
  <si>
    <t>FALSE TRUE TRUE</t>
  </si>
  <si>
    <t>TRUE TRUE TRUE</t>
  </si>
  <si>
    <t>N/A = A</t>
  </si>
  <si>
    <t>Yes = A,B,D</t>
  </si>
  <si>
    <t>No = A,C,D</t>
  </si>
  <si>
    <t>Answer</t>
  </si>
  <si>
    <t>(i) Customer Due Diligence (CDD)</t>
  </si>
  <si>
    <t>(ii) Suspicious Transaction Reporting (STR)</t>
  </si>
  <si>
    <t>(iii) Transaction Monitoring</t>
  </si>
  <si>
    <t>(iv) Financial Sanctions</t>
  </si>
  <si>
    <t>(v) Record Keeping</t>
  </si>
  <si>
    <t>(vi) Training</t>
  </si>
  <si>
    <t>(vii) Assurance Testing</t>
  </si>
  <si>
    <t>% Holding</t>
  </si>
  <si>
    <t>% of Holding</t>
  </si>
  <si>
    <t>Job Title</t>
  </si>
  <si>
    <t>Time Commitments</t>
  </si>
  <si>
    <t>Number</t>
  </si>
  <si>
    <t>SPM</t>
  </si>
  <si>
    <t>Shareholder</t>
  </si>
  <si>
    <t>Partner</t>
  </si>
  <si>
    <t>Annual (in days)</t>
  </si>
  <si>
    <t>Not restricted to EU &amp; EEA countries</t>
  </si>
  <si>
    <t>Restricted to EU &amp; EEA countries</t>
  </si>
  <si>
    <t>City/County</t>
  </si>
  <si>
    <t>Sole trader</t>
  </si>
  <si>
    <t>Private limited company</t>
  </si>
  <si>
    <t>Partnership</t>
  </si>
  <si>
    <t>Limited liability partnership</t>
  </si>
  <si>
    <t>Public limited company</t>
  </si>
  <si>
    <t>Limited partnership</t>
  </si>
  <si>
    <t>Unincorporated association</t>
  </si>
  <si>
    <t>Special purpose vehicle</t>
  </si>
  <si>
    <t>Foreign entity - give details</t>
  </si>
  <si>
    <t>Other, please specify</t>
  </si>
  <si>
    <t>Company Type</t>
  </si>
  <si>
    <t>The Legal Entity Identifier (LEI) is a 20-character reference code to uniquely identify legally distinct entities that engage in financial transactions and associated reference data.</t>
  </si>
  <si>
    <t>Pre-Approval Controlled functions (PCFs)</t>
  </si>
  <si>
    <t>General</t>
  </si>
  <si>
    <t>PCF-1 Executive director</t>
  </si>
  <si>
    <t>PCF-2 Non-executive director</t>
  </si>
  <si>
    <t>PCF-3 Chairman of the board</t>
  </si>
  <si>
    <t>PCF-4 Chairman of the audit committee</t>
  </si>
  <si>
    <t>PCF-5 Chairman of the risk committee</t>
  </si>
  <si>
    <t>PCF-6 Chairman of the remuneration committee</t>
  </si>
  <si>
    <t>PCF-7 Chairman of the nomination committee</t>
  </si>
  <si>
    <t>PCF-8 Chief executive</t>
  </si>
  <si>
    <t>PCF-9 Member of partnership</t>
  </si>
  <si>
    <t>PCF-10 Sole Trader</t>
  </si>
  <si>
    <t>PCF-11 Head of Finance</t>
  </si>
  <si>
    <t>PCF-12 Head of Compliance</t>
  </si>
  <si>
    <t>PCF-13 Head of Internal Audit</t>
  </si>
  <si>
    <t>PCF-14 Chief Risk Officer</t>
  </si>
  <si>
    <t>PCF-16 Branch Manager of branches in other EEA countries</t>
  </si>
  <si>
    <t>PCF-17 Head of Retail Sales</t>
  </si>
  <si>
    <t>PCF-42 Chief Operating Officer</t>
  </si>
  <si>
    <t>Insurance</t>
  </si>
  <si>
    <t>PCF-18 Head of Underwriting</t>
  </si>
  <si>
    <t>PCF-19 Head of Investment</t>
  </si>
  <si>
    <t>PCF-43 Head of Claims</t>
  </si>
  <si>
    <t>PCF-48 Head of Actuarial Function</t>
  </si>
  <si>
    <t>Banking</t>
  </si>
  <si>
    <t>PCF-21 Head of Treasury</t>
  </si>
  <si>
    <t>PCF-22 Head of Credit</t>
  </si>
  <si>
    <t>PCF-23 Head of Asset and Liability Management</t>
  </si>
  <si>
    <t>Stock Exchange</t>
  </si>
  <si>
    <t>PCF-24 Head of Traded Markets</t>
  </si>
  <si>
    <t>PCF-25 Head of International Primary Markets</t>
  </si>
  <si>
    <t>PCF-26 Head of Regulation</t>
  </si>
  <si>
    <t>PCF-27 Head of Operations</t>
  </si>
  <si>
    <t>Investment firms</t>
  </si>
  <si>
    <t>PCF-28 Branch Managers in Ireland</t>
  </si>
  <si>
    <t>PCF-29 Head of Trading</t>
  </si>
  <si>
    <t>PCF-30 Chief Investment Officer</t>
  </si>
  <si>
    <t>PCF-31 Head of Investment</t>
  </si>
  <si>
    <t>PCF-45 Head of Client Asset Oversight</t>
  </si>
  <si>
    <t>Investment Intermediaries / Collective Investment Schemes</t>
  </si>
  <si>
    <t>PCF-32 Branch Managers in Ireland</t>
  </si>
  <si>
    <t>PCF-33 Head of Transfer Agency</t>
  </si>
  <si>
    <t>PCF-34 Head of Accounting (Valuations)</t>
  </si>
  <si>
    <t>PCF-35 Head of Trustee Services</t>
  </si>
  <si>
    <t>PCF-36 Head of Custody Services</t>
  </si>
  <si>
    <t>UCITS Self-Managed Investment Company / Management Company</t>
  </si>
  <si>
    <t>PCF-37 Head of Transfer Agency</t>
  </si>
  <si>
    <t>PCF-38 Head of Accounting Valuations</t>
  </si>
  <si>
    <t>PCF-46 Head of Investor Money Oversight</t>
  </si>
  <si>
    <t>Payment Institutions</t>
  </si>
  <si>
    <t>PCF-40 Branch Managers within the State</t>
  </si>
  <si>
    <t>Retail Credit Firms</t>
  </si>
  <si>
    <t>PCF-47 Head of Credit</t>
  </si>
  <si>
    <t>Financial Service Providers established outside Ireland</t>
  </si>
  <si>
    <t>PCF-15 Head of Compliance with responsibility for Anti-Money Laundering and Counter Terrorist Financing Legislation</t>
  </si>
  <si>
    <t>PCF-39 Designated Person to whom a director of a UCITS Self Managed Investment Company or Non UCITS Self Managed Investment Company or Management Company may delegate the performance of the management functions</t>
  </si>
  <si>
    <t>PCF-41 Manager of a branch in Ireland of a regulated financial service provider established in a country that is not an EEA country</t>
  </si>
  <si>
    <t>Title</t>
  </si>
  <si>
    <t>First name</t>
  </si>
  <si>
    <t>Surname</t>
  </si>
  <si>
    <t>Email Address</t>
  </si>
  <si>
    <t>Business Phone Number</t>
  </si>
  <si>
    <t xml:space="preserve">Business Mobile Number ( If applicable) </t>
  </si>
  <si>
    <t>Year One</t>
  </si>
  <si>
    <t>Year Two</t>
  </si>
  <si>
    <t>3.1 Risk Assessment</t>
  </si>
  <si>
    <t>Policies &amp; Procedures</t>
  </si>
  <si>
    <t>Current YTD</t>
  </si>
  <si>
    <t>1. Submission Declaration</t>
  </si>
  <si>
    <t>I/We have to the best of my/our knowledge and belief, disclosed any other information, which might reasonably be considered relevant for the purpose of this registration</t>
  </si>
  <si>
    <t>I/We authorise the Central Bank to make such enquiries and to seek such further information as it thinks appropriate to verify the information within this registration form</t>
  </si>
  <si>
    <t>I/We will promptly notify the Central Bank of any changes in the information I/we have provided and supply any other relevant information which may come to light in the period during which this registration is being considered and thereafter.</t>
  </si>
  <si>
    <t>Person 1:</t>
  </si>
  <si>
    <t>Person 2:</t>
  </si>
  <si>
    <t>Signed by:</t>
  </si>
  <si>
    <t>Position:</t>
  </si>
  <si>
    <t>Date (dd/mm/yy):</t>
  </si>
  <si>
    <t xml:space="preserve">2. Declaration of compliance with Anti-Money Laundering and Combating the Financing of Terrorism Obligations </t>
  </si>
  <si>
    <t>Beneficial Owner</t>
  </si>
  <si>
    <t>IS/P/M</t>
  </si>
  <si>
    <t>VASP Services</t>
  </si>
  <si>
    <t>4.1    VASP Services</t>
  </si>
  <si>
    <t>Required Documentation:</t>
  </si>
  <si>
    <t>Financial Sanctions Screening</t>
  </si>
  <si>
    <t>Country (EEA) &amp; (EU)</t>
  </si>
  <si>
    <t>Austria</t>
  </si>
  <si>
    <t>Belgium</t>
  </si>
  <si>
    <t>Bulgaria</t>
  </si>
  <si>
    <t>Croatia</t>
  </si>
  <si>
    <t>Cyprus (Republic of)</t>
  </si>
  <si>
    <t>Czech Republic</t>
  </si>
  <si>
    <t>Denmark</t>
  </si>
  <si>
    <t>Estonia</t>
  </si>
  <si>
    <t>Finland</t>
  </si>
  <si>
    <t>France</t>
  </si>
  <si>
    <t>Germany</t>
  </si>
  <si>
    <t>Greece</t>
  </si>
  <si>
    <t>Hungary</t>
  </si>
  <si>
    <t xml:space="preserve">Iceland </t>
  </si>
  <si>
    <t>Italy</t>
  </si>
  <si>
    <t>Latvia</t>
  </si>
  <si>
    <t xml:space="preserve">Liechtenstein </t>
  </si>
  <si>
    <t>Lithuania</t>
  </si>
  <si>
    <t>Luxembourg</t>
  </si>
  <si>
    <t>Malta</t>
  </si>
  <si>
    <t>Netherlands</t>
  </si>
  <si>
    <t xml:space="preserve">Norway </t>
  </si>
  <si>
    <t>Poland</t>
  </si>
  <si>
    <t>Portugal</t>
  </si>
  <si>
    <t>Romania</t>
  </si>
  <si>
    <t>Slovakia</t>
  </si>
  <si>
    <t>Slovenia</t>
  </si>
  <si>
    <t>Spain</t>
  </si>
  <si>
    <t>Sweden</t>
  </si>
  <si>
    <t>UK &amp; NI</t>
  </si>
  <si>
    <t>Switzerland (Non-EEA)</t>
  </si>
  <si>
    <t>Gibraltar (Non-EEA)</t>
  </si>
  <si>
    <t>Country_All</t>
  </si>
  <si>
    <t>County</t>
  </si>
  <si>
    <t>Co. Antrim</t>
  </si>
  <si>
    <t>Co. Armagh</t>
  </si>
  <si>
    <t>Co. Carlow</t>
  </si>
  <si>
    <t>Co. Cavan</t>
  </si>
  <si>
    <t>Co. Clare</t>
  </si>
  <si>
    <t>Co. Cork</t>
  </si>
  <si>
    <t>Co. Derry</t>
  </si>
  <si>
    <t>Co. Donegal</t>
  </si>
  <si>
    <t>Co. Down</t>
  </si>
  <si>
    <t>Dublin 1</t>
  </si>
  <si>
    <t>Dublin 2</t>
  </si>
  <si>
    <t>Dublin 3</t>
  </si>
  <si>
    <t>Dublin 4</t>
  </si>
  <si>
    <t>Dublin 5</t>
  </si>
  <si>
    <t xml:space="preserve">Dublin 6 </t>
  </si>
  <si>
    <t>Dublin 7</t>
  </si>
  <si>
    <t>Dublin 6W</t>
  </si>
  <si>
    <t>Dublin 8</t>
  </si>
  <si>
    <t>Dublin 9</t>
  </si>
  <si>
    <t xml:space="preserve">Dublin 10 </t>
  </si>
  <si>
    <t>Dublin 11</t>
  </si>
  <si>
    <t>Dublin 12</t>
  </si>
  <si>
    <t>Dublin 13</t>
  </si>
  <si>
    <t>Dublin 14</t>
  </si>
  <si>
    <t>Dublin 15</t>
  </si>
  <si>
    <t>Dublin 16</t>
  </si>
  <si>
    <t>Dublin 17</t>
  </si>
  <si>
    <t>Dublin 18</t>
  </si>
  <si>
    <t>Dublin 20</t>
  </si>
  <si>
    <t>Dublin 22</t>
  </si>
  <si>
    <t>Dublin 24</t>
  </si>
  <si>
    <t>Co. Dublin</t>
  </si>
  <si>
    <t>Co. Fermanagh</t>
  </si>
  <si>
    <t>Co. Galway</t>
  </si>
  <si>
    <t>Co. Kerry</t>
  </si>
  <si>
    <t>Co. Kildare</t>
  </si>
  <si>
    <t>Co. Kilkenny</t>
  </si>
  <si>
    <t>Co. Laois</t>
  </si>
  <si>
    <t>Co. Leitrim</t>
  </si>
  <si>
    <t>Co. Limerick</t>
  </si>
  <si>
    <t>Co. Longford</t>
  </si>
  <si>
    <t>Co. Louth</t>
  </si>
  <si>
    <t>Co. Mayo</t>
  </si>
  <si>
    <t>Co. Meath</t>
  </si>
  <si>
    <t>Co. Monaghan</t>
  </si>
  <si>
    <t>Co. Offaly</t>
  </si>
  <si>
    <t>Co. Roscommon</t>
  </si>
  <si>
    <t>Co. Sligo</t>
  </si>
  <si>
    <t>Co. Tipperary</t>
  </si>
  <si>
    <t>Co. Tyrone</t>
  </si>
  <si>
    <t>Co. Waterford</t>
  </si>
  <si>
    <t>Co. Westmeath</t>
  </si>
  <si>
    <t>Co. Wexford</t>
  </si>
  <si>
    <t>Co. Wicklow</t>
  </si>
  <si>
    <t>Section Complete:</t>
  </si>
  <si>
    <t>Invalid Input</t>
  </si>
  <si>
    <t xml:space="preserve">(iii) The distribution channels used; and </t>
  </si>
  <si>
    <t>(i)  Customer base;</t>
  </si>
  <si>
    <t>(ii)  The VASP services provided;</t>
  </si>
  <si>
    <t>(iv)  The geographic areas of operation.</t>
  </si>
  <si>
    <t>(iii) Customer onboarding and transactions will be completed through non-face-to-face channels (e.g. a website, mobile application or other digital means etc.).</t>
  </si>
  <si>
    <t xml:space="preserve">(v) Other </t>
  </si>
  <si>
    <t>(ii) If yes please provide Central Bank Institution Code</t>
  </si>
  <si>
    <t>Name:</t>
  </si>
  <si>
    <t>Monthly (in days)</t>
  </si>
  <si>
    <t>(viii) Will appropriate records of AML/CFT/FS training with respect to its VASP activities be retained?</t>
  </si>
  <si>
    <t>Dupes Check</t>
  </si>
  <si>
    <t>Total Number of Customers</t>
  </si>
  <si>
    <t>5.1    Assurance Testing in relation to VASP Activities</t>
  </si>
  <si>
    <t>Business Plan?</t>
  </si>
  <si>
    <t>Validation Value</t>
  </si>
  <si>
    <t>(iii)  How frequent will the screening be conducted?</t>
  </si>
  <si>
    <t>4.2    Customer Exposure</t>
  </si>
  <si>
    <t xml:space="preserve">(i) Projected customer numbers  for VASP activities </t>
  </si>
  <si>
    <t>(ii) Projected turnover related to VASP activities (€'000)</t>
  </si>
  <si>
    <t xml:space="preserve">(iii) Projected volume of VASP related transactions (Numbers) </t>
  </si>
  <si>
    <t>Date to be implemented 
(if applicable)
 (dd/mm/yyyy)</t>
  </si>
  <si>
    <t xml:space="preserve">5.3    Outsourcing in relation to VASP Activities </t>
  </si>
  <si>
    <t>4.4    Geography/Country</t>
  </si>
  <si>
    <t>4.5    Distribution Channels</t>
  </si>
  <si>
    <t>AML/CFT</t>
  </si>
  <si>
    <t>Anti-Money Laundering/Countering the Financing of Terrorism</t>
  </si>
  <si>
    <t>AML/CFT/FS</t>
  </si>
  <si>
    <t xml:space="preserve">Anti-Money Laundering/Countering the Financing of Terrorism/International Financial Sanctions </t>
  </si>
  <si>
    <t>CDD</t>
  </si>
  <si>
    <t>Customer Due Diligence</t>
  </si>
  <si>
    <t>CRO</t>
  </si>
  <si>
    <t xml:space="preserve">Companies Registration Office </t>
  </si>
  <si>
    <t>EEA</t>
  </si>
  <si>
    <t>European Economic Area</t>
  </si>
  <si>
    <t>EU</t>
  </si>
  <si>
    <t>European Union</t>
  </si>
  <si>
    <t>FS</t>
  </si>
  <si>
    <t>ML</t>
  </si>
  <si>
    <t>Money Laundering</t>
  </si>
  <si>
    <t>MLRO</t>
  </si>
  <si>
    <t>Money Laundering Reporting Officer</t>
  </si>
  <si>
    <t>ML/TF</t>
  </si>
  <si>
    <t>Money Laundering/Terrorist Financing</t>
  </si>
  <si>
    <t>PCF</t>
  </si>
  <si>
    <t>Pre-approved Control Function</t>
  </si>
  <si>
    <t>TF</t>
  </si>
  <si>
    <t>Terrorist Financing</t>
  </si>
  <si>
    <t>VASP</t>
  </si>
  <si>
    <t>Virtual Asset Service Provider : Person who is undertaking VASP Activities</t>
  </si>
  <si>
    <t xml:space="preserve">VASP Activities </t>
  </si>
  <si>
    <t>If no, please confirm date by which date the control framework will be in place</t>
  </si>
  <si>
    <t>(ii)  The person to whom all AML/CFT/FS queries and/or communications may be directed for the duration of the application process.</t>
  </si>
  <si>
    <t>Identity of Indirect Shareholder/Partner/Member</t>
  </si>
  <si>
    <t>Other (please state below)</t>
  </si>
  <si>
    <t>4.3  Financial Sanctions and PEPs Screening</t>
  </si>
  <si>
    <t>Projected % of Customer Base</t>
  </si>
  <si>
    <t>4.6 Agents &amp; Branches</t>
  </si>
  <si>
    <t>1.2  Contact Details:</t>
  </si>
  <si>
    <t>If ‘Other’ is selected, please provide additional information:</t>
  </si>
  <si>
    <t>I/We confirm that to the best of my/our knowledge and belief, all responses and information contained in this registration form is true, accurate and complete</t>
  </si>
  <si>
    <t>Designated Activity Company</t>
  </si>
  <si>
    <t>(i)  Exchange between virtual assets and fiat currencies</t>
  </si>
  <si>
    <t>(ii) Exchange between one or more forms of virtual assets</t>
  </si>
  <si>
    <t>(iii)  Transfer of virtual assets, that is to say, conduct a transaction on behalf of another person that moves a virtual asset from one virtual asset address or account to another</t>
  </si>
  <si>
    <t>(iv)  Custodian wallet provider</t>
  </si>
  <si>
    <t>(v) Participation in, and provision of, financial services related to an issuer’s offer or sale of a virtual asset or both</t>
  </si>
  <si>
    <t>Identity of Shareholder / Partner</t>
  </si>
  <si>
    <t>Shareholder / Partner</t>
  </si>
  <si>
    <t xml:space="preserve">Please confirm that all members of the Board, all senior management and other staff involved in VASP activities have received relevant training in respect of their AML/CFT/FS obligations, as set out in Irish legislation and state the frequency of this training. </t>
  </si>
  <si>
    <t>PEP</t>
  </si>
  <si>
    <t>Politically Exposed Person</t>
  </si>
  <si>
    <t>(i)  Central Bank Institution Code:</t>
  </si>
  <si>
    <t xml:space="preserve">(iii) The Money Laundering Reporting Officer (MLRO) or person holding equivalent function within the Applicant Firm. </t>
  </si>
  <si>
    <t>Please indicate the VASP activities proposed to be undertaken by the Applicant Firm :</t>
  </si>
  <si>
    <t>(ii)  Legal Name of Applicant Firm:</t>
  </si>
  <si>
    <t>Legal Status of Applicant Firm:</t>
  </si>
  <si>
    <t>Does the Applicant Firm have a CRO code?</t>
  </si>
  <si>
    <t>LEI code of Applicant Firm (if applicable):</t>
  </si>
  <si>
    <t xml:space="preserve">(i) Is the Applicant Firm currently, or has the Applicant Firm ever in the past been licenced, authorised or otherwise regulated by the Central Bank? </t>
  </si>
  <si>
    <t xml:space="preserve">(iii) Is the Applicant Firm currently applying, or has the Applicant Firm ever in the past applied for any other type of licence, authorisation or registration from the Central Bank?  </t>
  </si>
  <si>
    <t>Is the Applicant Firm a member of a Group?</t>
  </si>
  <si>
    <t>(i)  Has the Applicant Firm performed an assessment of ML/TF and FS risks for all its proposed VASP activities?</t>
  </si>
  <si>
    <t>Proposed VASP activities NOT included in the Applicant Firm’s risk assessment</t>
  </si>
  <si>
    <t xml:space="preserve">If Yes, please list the relevant section /paragraph numbers within the Applicant Firm's policies &amp; procedures </t>
  </si>
  <si>
    <t xml:space="preserve">Has a copy of the Applicant Firm's AML/CFT/FS policies and procedures with respect to its VASP activities been submitted to support this application? </t>
  </si>
  <si>
    <t>(vii) Do the Applicant Firm’s proposed VASP training materials reflect local AML/CFT requirements and EU FS regulations, as appropriate?</t>
  </si>
  <si>
    <t>(ii)  Please complete the table, providing a breakdown of the Applicant Firm’s proposed VASP customer type(s) and the approximate number of VASP customers  (to the extent that this information is available).</t>
  </si>
  <si>
    <t>(i)  Will the Applicant Firm conduct financial sanctions screening?</t>
  </si>
  <si>
    <t>(i)  Will the Applicant Firm conduct PEP screening?</t>
  </si>
  <si>
    <t>(i)     The Applicant Firm’s proposed VASP operations and customer base are:</t>
  </si>
  <si>
    <t>(ii)  If the Applicant Firm does not propose to restrict its proposed VASP operations and customer base to Ireland, please list the top 5 countries (1 being the largest) by size of customer base.</t>
  </si>
  <si>
    <t>(i)  Please select and rank the most relevant distribution channel(s) to be utilised in relation to the Applicant Firm's proposed VASP services.  
The relevant distribution channels should be ranked 1-5, with 1 inferring the proposed main distribution channel.  
Select N/A where appropriate.</t>
  </si>
  <si>
    <t>(i) Customer onboarding and transactions will be completed through face-to-face engagement with the Applicant Firm’s own sales personnel (e.g. head office, branches, sales teams, account representatives or managers etc.).</t>
  </si>
  <si>
    <t>(ii) Customer onboarding will be completed through face-to-face engagement with the Applicant Firm’s own sales personnel (e.g. head office, branches, sales teams, account representatives or managers etc.) but subsequent transactions are performed through non-face-to-face media (e.g. a website, mobile application or other digital means etc.).</t>
  </si>
  <si>
    <t>(iv) Outsourcing - Customer onboarding and transactions will predominantly be completed by external providers or related group entities in accordance with the Applicant Firm’s policies and procedures or terms of service/business.</t>
  </si>
  <si>
    <t>(iii) the due diligence the Applicant Firm has or will put in place in respect of appointing new agents to minimise the risks of having ‘bad agents’</t>
  </si>
  <si>
    <t>(i)  Please confirm that the Applicant Firm has a proposed assurance testing programme in place to ensure that all relevant AML/CFT/FS processes and procedures in relation to its proposed VASP activities are fit for purpose and adhered to in practice (and not just at customer take on).
If the answer is ‘No’, please confirm the date by which this assurance-testing programme will be put in place.</t>
  </si>
  <si>
    <t>(ii)  If the Applicant Firm proposes to place such reliance on third parties, please confirm the proposed number of firms on which third party reliance will be placed.</t>
  </si>
  <si>
    <t xml:space="preserve">(i)  Does the Applicant Firm outsource or propose to outsource any AML/CFT/FS related functions in relation to its VASP activities?  </t>
  </si>
  <si>
    <t>(iii)  If the Applicant Firm outsources or proposes to outsource VASP related AML/CFT/FS related functions, are the outsourced service providers:
•  Group related parties; or
•   Non-group related parties.</t>
  </si>
  <si>
    <t xml:space="preserve">(iv)  Does the Applicant Firm have operating agreements/service level agreements in place with all proposed VASP related  AML/CFT/FS outsourced service providers?
If the answer is ‘No’, please confirm date by which such operating agreements/service level agreements will be put in place. </t>
  </si>
  <si>
    <t>(v)  Does the Applicant Firm have a programme in place for appropriate regular assurance testing and verification of VASP related AML/CFT/FS documentation gathered through outsourced service providers to show that AML/CFT/FS procedures applied reflect those of the Applicant Firm?
If the answer is ‘No’, please confirm the date by which such a proposed testing programme will be put in place.</t>
  </si>
  <si>
    <t>(iv)  Does the Applicant Firm have a proposed programme in place for the regular testing and verification of AML/CFT/FS documentation sourced through these third parties to ensure:  
•  AML/CFT/FS procedures applied reflect those of the Applicant Firm;
•  AML/CFT/FS information can be retrieved quickly without undue delay; and
•  The quality of underlying documents is sufficient and that there are no gaps in any records kept that cannot be readily explained?
If the answer is ‘No’, please confirm date by which such a proposed testing programme will be put in place.</t>
  </si>
  <si>
    <t>("the Applicant Firm") to complete this registration application on behalf of the Applicant Firm.</t>
  </si>
  <si>
    <t>I/We acknowledge that the Central Bank may require the Applicant Firm to give further information or documentation to support this registration</t>
  </si>
  <si>
    <t>I/We acknowledge, on behalf of the Applicant Firm, that the Central Bank may disclose information contained in this registration form in the performance of its statutory functions or otherwise as may be specifically authorised by law</t>
  </si>
  <si>
    <t>For and on behalf of: 
(Applicant Firm name)</t>
  </si>
  <si>
    <t>Does the Applicant Firm have, or will it have, AML/CFT/FS policies and procedures with respect to its VASP activities that reflect the requirements of Irish AML/CFT legislation and EU FS regulations in respect of but not limited to the following ?
If the answer is ‘Yes’ to any of the below , please list the relevant section /paragraph numbers within the Applicant Firm's policies &amp; procedures 
If the answer is ‘No’ to any of the below , please confirm the date by which these will be put in place.</t>
  </si>
  <si>
    <t>(vi)  Has the Applicant Firm put in place a plan for on-going training to ensure that relevant management and staff (both new and existing) involved in VASP activities are aware of the Applicant Firm’s AML/CFT/FS obligations and its processes and procedures for the fulfilment of same?
If the answer is ‘No’, please confirm the date on which such training will be put in place.</t>
  </si>
  <si>
    <t>Does the Role required PCF Approval</t>
  </si>
  <si>
    <t>If more than 10 principal officers please submit additional details in separate document</t>
  </si>
  <si>
    <t>Is this information included in the risk assessment?</t>
  </si>
  <si>
    <t>The risk assessment must include a description of the internal control mechanisms that the Applicant Firm has established to assess the ML/TF risks associated with its proposed VASP activities to include the Applicant Firm’s:</t>
  </si>
  <si>
    <t>(i)  Has the Applicant Firm provided AML/CFT/FS training with respect to its VASP activities?</t>
  </si>
  <si>
    <t>Name of Professional Advisor:</t>
  </si>
  <si>
    <t>(iv) Has the  Applicant Firm ever been regulated by an agency other than the Central Bank in the State or elsewhere?</t>
  </si>
  <si>
    <t xml:space="preserve">(v) Has the Applicant Firm ever been refused a licence, authorisation or registration from the Central Bank or other Regulator? </t>
  </si>
  <si>
    <t xml:space="preserve">(vi) Has the Central Bank or any other Regulator ever revoked a licence, authorisation or registration granted to the Applicant Firm?  </t>
  </si>
  <si>
    <t xml:space="preserve">(viii) If yes, please provide the parent's Central Bank institution code </t>
  </si>
  <si>
    <t xml:space="preserve">(ix) Has the Applicant Firm's parent or any group member of the Applicant Firm ever been refused a licence, authorisation or registration from the Central Bank or other Regulator? </t>
  </si>
  <si>
    <t xml:space="preserve">(x) Has the Central Bank or any other Regulator ever revoked a licence, authorisation or registration granted to the Applicant Firm's parent or any group member of the Applicant Firm?  </t>
  </si>
  <si>
    <t>Number1</t>
  </si>
  <si>
    <t>10+</t>
  </si>
  <si>
    <t>4+</t>
  </si>
  <si>
    <t>Number2</t>
  </si>
  <si>
    <t>Section Valid:</t>
  </si>
  <si>
    <t>Format</t>
  </si>
  <si>
    <t>Question 
1</t>
  </si>
  <si>
    <t>Question 
2</t>
  </si>
  <si>
    <t>Question 
3</t>
  </si>
  <si>
    <t>Question 
4</t>
  </si>
  <si>
    <t>(ii)  Will this screening be automated or manual?</t>
  </si>
  <si>
    <t>(ii)  What is the proposed frequency of review of the risk assessment?</t>
  </si>
  <si>
    <t>If Frequency is Other, please give details:</t>
  </si>
  <si>
    <t>Country Blank</t>
  </si>
  <si>
    <t>% Check</t>
  </si>
  <si>
    <t>(v)  What is the proposed frequency of testing of third party reliance/arrangements, which will be put in place?</t>
  </si>
  <si>
    <r>
      <t>(ii)  </t>
    </r>
    <r>
      <rPr>
        <sz val="11"/>
        <color theme="1"/>
        <rFont val="Lato"/>
        <family val="2"/>
      </rPr>
      <t>If the Applicant Firm outsources or proposes to outsource VASP related AML/CFT functions, p</t>
    </r>
    <r>
      <rPr>
        <sz val="11"/>
        <color rgb="FF000000"/>
        <rFont val="Lato"/>
        <family val="2"/>
      </rPr>
      <t>lease confirm the number of outsourcing arrangements in place.
N.B. For the avoidance of doubt, this includes inter/group-company outsourcing arrangements.</t>
    </r>
  </si>
  <si>
    <t>(vi)  What is the proposed frequency of testing of VASP related AML/CFT/FS outsourcing arrangements, which are currently in place?</t>
  </si>
  <si>
    <t>(vii)  If ‘Other’ is selected at (vi) above, please provide additional information:</t>
  </si>
  <si>
    <t xml:space="preserve">3.3   AML/CFT/FS Training with Respect to VASP Activities </t>
  </si>
  <si>
    <t>(xii) If applicable, does the Applicant Firm have policies and procedures in place in relation to any proposed correspondent relationships?</t>
  </si>
  <si>
    <t>Please confirm who will facilitate the on-going training and the proposed format of such training.</t>
  </si>
  <si>
    <t>(i)  Please complete the table based on the Applicant Firm’s total estimated size (i.e. numbers) of the Applicant Firm’s proposed VASP customer base at the end of the Applicant Firm’s first year of registration (to the extent that this information is available).</t>
  </si>
  <si>
    <t xml:space="preserve">Does the Applicant Firm have an MLRO or person holding equivalent function within the Applicant Firm? </t>
  </si>
  <si>
    <t>Eircode / Postcode</t>
  </si>
  <si>
    <t>(iv) Projected value of VASP related transactions (€'000)</t>
  </si>
  <si>
    <t>Proposed Completion Date</t>
  </si>
  <si>
    <t>Agents</t>
  </si>
  <si>
    <t>Branches</t>
  </si>
  <si>
    <t xml:space="preserve"> 3. Declaration re. Fitness and Probity</t>
  </si>
  <si>
    <t>Identity of Indirect Shareholder / Partner</t>
  </si>
  <si>
    <t>2.3 Principal Officers</t>
  </si>
  <si>
    <t>Country Validation</t>
  </si>
  <si>
    <t>Number of Agents</t>
  </si>
  <si>
    <t>Number of Branches</t>
  </si>
  <si>
    <t>Conditional Formatting</t>
  </si>
  <si>
    <t>Number of Countries</t>
  </si>
  <si>
    <t>Number of Agents / Branches</t>
  </si>
  <si>
    <t>(v) Projected value of Virtual Assets held in custody (€'000)</t>
  </si>
  <si>
    <t xml:space="preserve">(i) Does the Applicant Firm propose to have agents and/or branches in relation to its VASP services? </t>
  </si>
  <si>
    <t>No of Countries</t>
  </si>
  <si>
    <t xml:space="preserve">Please list the top 5 countries (1 being the largest) 
by number of Agents </t>
  </si>
  <si>
    <t>Please list the top 5 countries (1 being the largest) 
by number of Branches</t>
  </si>
  <si>
    <t>Risk Assessment:</t>
  </si>
  <si>
    <t xml:space="preserve">Business Mobile Number (if applicable) </t>
  </si>
  <si>
    <t>Is the person to whom all AML/CFT queries and/or communications different to (i)?</t>
  </si>
  <si>
    <t>3.4 Report Management Information</t>
  </si>
  <si>
    <t xml:space="preserve">If Yes, please state the name of the document and associated section /paragraph numbers within the document. </t>
  </si>
  <si>
    <t xml:space="preserve">Please state the name of the document and associated section /paragraph numbers within the document. </t>
  </si>
  <si>
    <t>If No, please indicate when this data will be submitted.</t>
  </si>
  <si>
    <t xml:space="preserve">Has this information been submitted 
as part of this application? </t>
  </si>
  <si>
    <t xml:space="preserve">Has this information 
been submitted as 
part of this application? </t>
  </si>
  <si>
    <t>The Applicant Firm must include an overview of its organisational structure and internal control systems, including an organisational chart which captures the following in relation to its VASP activities:</t>
  </si>
  <si>
    <t>(i) Reporting lines within the Applicant Firm, including to its Board (or equivalent).</t>
  </si>
  <si>
    <t>(ii) Any overlapping functions that will be carried out.</t>
  </si>
  <si>
    <t>(iii) Description of the roles of senior management as they relate to proposed VASP activities of the Applicant Firm.</t>
  </si>
  <si>
    <t xml:space="preserve">If Yes, please list the relevant section /paragraph numbers within the risk assessment. </t>
  </si>
  <si>
    <t>The Applicant Firm must provide a description of the systems and controls that it has or will put in place to ensure that its AML/CFT/FS policies and procedures with respect to its VASP activities remain up to date, effective and comply with AML/CFT legislation.
Please also include details of the proposed frequency that the Applicant Firm’s AML/CFT/FS policies and procedures will be reviewed and updated.</t>
  </si>
  <si>
    <t>If No, please indicate when this information will be submitted.</t>
  </si>
  <si>
    <t>If No, please indicate when this 
information will be submitted.</t>
  </si>
  <si>
    <t>The Applicant Firm must provide a full list of its Agents and Branches, including location and activities.</t>
  </si>
  <si>
    <t>If the Applicant Firm proposes to have Agents or Branches in relation to its VASP activities, 
it must provide details of:</t>
  </si>
  <si>
    <t>Required Documentation</t>
  </si>
  <si>
    <t xml:space="preserve">The Applicant Firm must detail the systems and controls that it has or will put in place regarding its proposed assurance testing programme.  </t>
  </si>
  <si>
    <t>The Applicant Firm must provide details of all VASP related outsourced AML/CFT/FS functions</t>
  </si>
  <si>
    <t>The Applicant Firm must submit an organisational chart which captures all the addresses where it proposes to carry out VASP activities in the State together with the names of the heads of those offices</t>
  </si>
  <si>
    <r>
      <t xml:space="preserve">(ii)  Where training </t>
    </r>
    <r>
      <rPr>
        <b/>
        <u/>
        <sz val="11"/>
        <rFont val="Lato"/>
        <family val="2"/>
      </rPr>
      <t>has</t>
    </r>
    <r>
      <rPr>
        <b/>
        <sz val="11"/>
        <rFont val="Lato"/>
        <family val="2"/>
      </rPr>
      <t xml:space="preserve"> been provided</t>
    </r>
    <r>
      <rPr>
        <sz val="11"/>
        <rFont val="Lato"/>
        <family val="2"/>
      </rPr>
      <t>, please confirm the date on which the training was provided.</t>
    </r>
  </si>
  <si>
    <r>
      <t xml:space="preserve">(iii) Where training has </t>
    </r>
    <r>
      <rPr>
        <b/>
        <u/>
        <sz val="11"/>
        <rFont val="Lato"/>
        <family val="2"/>
      </rPr>
      <t>not yet</t>
    </r>
    <r>
      <rPr>
        <sz val="11"/>
        <rFont val="Lato"/>
        <family val="2"/>
      </rPr>
      <t xml:space="preserve"> </t>
    </r>
    <r>
      <rPr>
        <b/>
        <sz val="11"/>
        <rFont val="Lato"/>
        <family val="2"/>
      </rPr>
      <t>been provided,</t>
    </r>
    <r>
      <rPr>
        <sz val="11"/>
        <rFont val="Lato"/>
        <family val="2"/>
      </rPr>
      <t xml:space="preserve"> please confirm the date on which this training will be provided.</t>
    </r>
  </si>
  <si>
    <t>(iv)  What is the proposed frequency of training going forward?</t>
  </si>
  <si>
    <t xml:space="preserve">5.2    Third Party Reliance in Relation to VASP Activities </t>
  </si>
  <si>
    <t>(vi)  If ‘Other’ is selected at (v) above, please provide additional information:</t>
  </si>
  <si>
    <t>Has this information been submitted as part of this application?</t>
  </si>
  <si>
    <t xml:space="preserve">1.1 Applicant Firm Name: </t>
  </si>
  <si>
    <t>If the answer to (iii) is Yes, the Applicant Firm must set out the MLRO's (or person holding equivalent function) reporting lines.  
The Applicant Firm must include a brief biography highlighting their qualifications, expertise and experience relevant to holding this position.</t>
  </si>
  <si>
    <t>1.3  Applicant Firm Details:</t>
  </si>
  <si>
    <t xml:space="preserve">If Yes, please indicate the relevant document that provides this supporting information. </t>
  </si>
  <si>
    <t xml:space="preserve">If No, please indicate when this information will be submitted. </t>
  </si>
  <si>
    <t xml:space="preserve"> If the answer is 'Yes' to any of the questions above, please provide supporting information.</t>
  </si>
  <si>
    <t>Control</t>
  </si>
  <si>
    <r>
      <t xml:space="preserve">Has a Beneficial Ownership form together with all required documentation been submitted for those beneficial owners / controllers  
</t>
    </r>
    <r>
      <rPr>
        <u/>
        <sz val="11"/>
        <rFont val="Lato"/>
        <family val="2"/>
      </rPr>
      <t>who do not hold / do not propose</t>
    </r>
    <r>
      <rPr>
        <sz val="11"/>
        <rFont val="Lato"/>
        <family val="2"/>
      </rPr>
      <t xml:space="preserve"> to hold a Pre-approved Control Function (PCF) in the Applicant Firm? </t>
    </r>
  </si>
  <si>
    <t>List all the principal officers of the Applicant Firm including their job titles and time commitments (monthly and annual).</t>
  </si>
  <si>
    <t>(xi) In respect to record keeping, do the proposed policies and procedures set out 
the records to be retained and the period of retention for each record, as set out 
in Irish legislation?</t>
  </si>
  <si>
    <t>(x) In relation to STRs, do the proposed policies and procedures include the process 
for investigation, documentation and escalation of suspicious transactions?</t>
  </si>
  <si>
    <t>(a) Principal officers; 
(b) Management team;
(c) Other officers, principals or employees of the Applicant Firm who have sufficient seniority to take decisions affecting money laundering and terrorist financing risk exposure of the Applicant Firm;
(d) Money Laundering Reporting Officer; and
(e) Compliance officer.</t>
  </si>
  <si>
    <t>If Yes please give details:</t>
  </si>
  <si>
    <t>The Applicant Firm must set out details on the VASP services being provided.  It must also set out how these services meet the definition of a VASP as set out under the legislation.
The Applicant Firm should detail (with flow charts) all relevant transaction flows of both funds and Virtual Assets, the mechanisms by which funds and Virtual Assets are transferred, and how the firm’s customers engage with the services being provided.   </t>
  </si>
  <si>
    <t>Date Applicant Firm commenced /
commencing provision of VASP services:</t>
  </si>
  <si>
    <t>If yes, please provide CRO code of the Applicant Firm:</t>
  </si>
  <si>
    <t>Version 2.0.</t>
  </si>
  <si>
    <t>√</t>
  </si>
  <si>
    <t>×</t>
  </si>
  <si>
    <t>Section</t>
  </si>
  <si>
    <t>Details</t>
  </si>
  <si>
    <t>Validation</t>
  </si>
  <si>
    <t>Applicant Firm Details</t>
  </si>
  <si>
    <t>Central Bank Code &amp; Firm Name</t>
  </si>
  <si>
    <t>Contact Details</t>
  </si>
  <si>
    <t>Applicant Firm Details:</t>
  </si>
  <si>
    <t>Applicant Firm Structure</t>
  </si>
  <si>
    <t>Proposed VASP activities</t>
  </si>
  <si>
    <t>VASP Business Profile</t>
  </si>
  <si>
    <t xml:space="preserve"> Regulatory History</t>
  </si>
  <si>
    <t>Shareholdings &amp; Management</t>
  </si>
  <si>
    <t>Direct Shareholders /  Partners</t>
  </si>
  <si>
    <t>Indirect Shareholders / Partners</t>
  </si>
  <si>
    <t>Principal Officers</t>
  </si>
  <si>
    <t>Risk Assessment</t>
  </si>
  <si>
    <t xml:space="preserve">AML/CFT/FS Training with Respect to VASP Activities </t>
  </si>
  <si>
    <t>Report Management Information</t>
  </si>
  <si>
    <t>ML/TF Risk Profile</t>
  </si>
  <si>
    <t>Customer Exposure</t>
  </si>
  <si>
    <t>Financial Sanctions and PEPs</t>
  </si>
  <si>
    <t>Geography/Country</t>
  </si>
  <si>
    <t>Distribution Channels</t>
  </si>
  <si>
    <t>Agents &amp; Branches</t>
  </si>
  <si>
    <t>Risk Based Approach</t>
  </si>
  <si>
    <t>Assurance Testing in relation to VASP Activities</t>
  </si>
  <si>
    <t>Third Party Reliance in Relation to VASP Activities</t>
  </si>
  <si>
    <t xml:space="preserve">Outsourcing in relation to VASP Activities </t>
  </si>
  <si>
    <t>Declarations</t>
  </si>
  <si>
    <t>Submission Declaration</t>
  </si>
  <si>
    <t>Declaration of Compliance</t>
  </si>
  <si>
    <t>Declaration re. personnel</t>
  </si>
  <si>
    <t>Return Status:</t>
  </si>
  <si>
    <r>
      <t xml:space="preserve">The Central Bank will process personal data provided by you in order to fulfil its statutory  functions or to fulfil its business operations.  Any personal data provided will be processed in accordance with the requirements of data protection legislation. Should you have any queries concerning the processing of personal data by the Central Bank,  these can be submitted to </t>
    </r>
    <r>
      <rPr>
        <sz val="11"/>
        <color rgb="FF1F497D"/>
        <rFont val="Lato"/>
        <family val="2"/>
      </rPr>
      <t xml:space="preserve">dataprotection@centralbank.ie .  </t>
    </r>
    <r>
      <rPr>
        <sz val="11"/>
        <color rgb="FF000000"/>
        <rFont val="Lato"/>
        <family val="2"/>
      </rPr>
      <t xml:space="preserve">A copy of the Central Bank’s Data Protection Notice is available at the following location: </t>
    </r>
    <r>
      <rPr>
        <u/>
        <sz val="11"/>
        <rFont val="Lato"/>
        <family val="2"/>
      </rPr>
      <t xml:space="preserve">https://www.centralbank.ie/fns/privacy-statement </t>
    </r>
  </si>
  <si>
    <t>Has an Individual Questionnaire been submitted on-line to the Regulatory Transactions Division for each person who proposes to hold a PCF role (if not already approved by the Central Bank for that same PCF role)?</t>
  </si>
  <si>
    <t>The following information must be submitted in a separate document for each Principal Officer of the Applicant Firm,  who does not hold a PCF function nor is a Beneficial Owner in  the  Applicant Firm in their own right. 
(i)   Full name;
(ii)  Position held in the Applicant Firm; 
(iii) Address;
(iv) Date of birth; and
(v) Country of birth.</t>
  </si>
  <si>
    <t xml:space="preserve">If No to questions (i) to (iii) above, please indicate when this information will be submitted. </t>
  </si>
  <si>
    <t>I/We the undersigned are authorised by</t>
  </si>
  <si>
    <t>Two Principal Officers of the Applicant Firm must sign the Declaration above.</t>
  </si>
  <si>
    <t>NOTES ON COMPLETION</t>
  </si>
  <si>
    <t xml:space="preserve">Where separate documentation is required, please ensure that these documents, are clearly marked and referenced in accordance with the relevant section numbers in this Application Form.  </t>
  </si>
  <si>
    <t>If the answer to (iii) is No, the Applicant Firm must set out the reasons it does not have a MLRO.</t>
  </si>
  <si>
    <t xml:space="preserve">The Applicant Firm must set out the virtual assets to be provided and how these meet the definition of a virtual asset as set out in the legislation.  
The Applicant Firm must include any due diligence it has carried out on the virtual assets to be provided. </t>
  </si>
  <si>
    <t xml:space="preserve">(vi) Projected staff numbers directly employed by the Applicant Firm </t>
  </si>
  <si>
    <t>The Applicant Firm must set out the rationale and any related assumptions for each of the projected figures included in section 1.6 above.</t>
  </si>
  <si>
    <t xml:space="preserve">2.1 Direct Beneficial Ownership: Shareholders / Partners </t>
  </si>
  <si>
    <t>(i) Number of shareholders/partners who are direct beneficial owners of the Applicant Firm.</t>
  </si>
  <si>
    <t>(ii) List all shareholders or partners who:
(a) have direct beneficial ownership in the Applicant Firm; or
(b) are in a position to exercise direct control over the management of the Applicant Firm</t>
  </si>
  <si>
    <t>2.2 Indirect Beneficial Ownership : Shareholders / Partners</t>
  </si>
  <si>
    <t>(i) Number of shareholders / partners who are indirect beneficial owners of the Applicant Firm.</t>
  </si>
  <si>
    <t>(ii) List all shareholders/partners who:
(a) have indirect beneficial ownership holdings and specify the amount of these holdings; or
(b) are in a position to exercise indirect control over the management of the applicant firm, up to and including the ultimate parent (if applicable).</t>
  </si>
  <si>
    <t>Date acquired 
(dd/mm/yyyy)</t>
  </si>
  <si>
    <t>(iii) If no risk assessment or risk assessment is incomplete, please populate table below:</t>
  </si>
  <si>
    <r>
      <t>For each section,  all questions marked with a red asterisk (</t>
    </r>
    <r>
      <rPr>
        <sz val="11"/>
        <color rgb="FFFF0000"/>
        <rFont val="Lato"/>
        <family val="2"/>
      </rPr>
      <t>*</t>
    </r>
    <r>
      <rPr>
        <sz val="11"/>
        <color theme="1"/>
        <rFont val="Lato"/>
        <family val="2"/>
      </rPr>
      <t xml:space="preserve">) must be completed and all required documentation must be submitted. Otherwise your application will not proceed . </t>
    </r>
  </si>
  <si>
    <r>
      <t xml:space="preserve">The Central Bank may process personal data provided by you in order to fulfil its statutory functions or to facilitate its business operations. Any personal data will be processed in accordance with the requirements of data protection legislation. Any queries concerning the processing of personal data by the Central Bank may be directed to dataprotection@centralbank.ie. A copy of the Central Bank’s Data Protection Notice is available at </t>
    </r>
    <r>
      <rPr>
        <b/>
        <sz val="11"/>
        <color theme="4" tint="-0.499984740745262"/>
        <rFont val="Lato"/>
        <family val="2"/>
      </rPr>
      <t>www.centralbank.ie/fns/privacy-statement</t>
    </r>
    <r>
      <rPr>
        <b/>
        <sz val="11"/>
        <color theme="1"/>
        <rFont val="Lato"/>
        <family val="2"/>
      </rPr>
      <t>.</t>
    </r>
  </si>
  <si>
    <t>1.4 Registered Office</t>
  </si>
  <si>
    <t>(i)  Is the Registered Office different from (iii) above:</t>
  </si>
  <si>
    <t xml:space="preserve">(ii)  Applicant Firm Email Address </t>
  </si>
  <si>
    <t xml:space="preserve">(iii)  Applicant Firm Website Address </t>
  </si>
  <si>
    <t xml:space="preserve">(iv) Applicant Firm Social Media Address(es) </t>
  </si>
  <si>
    <t>(i) Trading Name (if different from 1.1 (ii) above)</t>
  </si>
  <si>
    <t>1.5 Professional Advisor Details:</t>
  </si>
  <si>
    <t>(i) Does the Applicant Firm have a professional advisor in respect of this registration</t>
  </si>
  <si>
    <t>(ii) Do you grant the Central Bank permission to liaise with your professional advisor in respect of this registration</t>
  </si>
  <si>
    <t>1.6 Legal Status of Applicant Firm</t>
  </si>
  <si>
    <t xml:space="preserve">1.7 Applicant Firm Structure </t>
  </si>
  <si>
    <t xml:space="preserve">If the Applicant Firm is a member of a group, it must set out:
(i)  details of the Applicant Firm's group structure;
(ii) include a detailed group organisation chart;
(iii) list the main activities of each firm within the group; and 
(iv) identify any regulated entities within the group together with the names of the relevant supervisory authorities. </t>
  </si>
  <si>
    <t>1.8 Proposed VASP activities</t>
  </si>
  <si>
    <t>1.9 VASP Business Profile</t>
  </si>
  <si>
    <t xml:space="preserve">1.10 Regulatory History </t>
  </si>
  <si>
    <t>(i) The person who will act as the Applicant Firm's principal contact with the Central Bank for the duration of the application process.</t>
  </si>
  <si>
    <t>(vii) Is the Applicant Firm a subsidiary of a Firm licenced, authorised or regulated by the Central Bank?</t>
  </si>
  <si>
    <t>Does the role required PCF Approval</t>
  </si>
  <si>
    <t>If N/A please give reasons as to why:</t>
  </si>
  <si>
    <t xml:space="preserve">If No to any of the questions (i) to (iv) above, please indicate when this information will be submitted. </t>
  </si>
  <si>
    <t>We the undersigned confirm that the</t>
  </si>
  <si>
    <t>We confirm that</t>
  </si>
  <si>
    <t>International Financial Sanctions</t>
  </si>
  <si>
    <t>AML CFT  FS Governance</t>
  </si>
  <si>
    <t>3.2 Policies and Procedures</t>
  </si>
  <si>
    <t>Glossary of Terms</t>
  </si>
  <si>
    <t>If No, date 
to be implemented 
(dd/mm/yyyy)</t>
  </si>
  <si>
    <t>(iv)  Based on the Applicant Firm’s risk assessment of its VASP activities, what ML/TF and FS risk rating would apply?</t>
  </si>
  <si>
    <t>Has a copy of the Applicant Firm's assessment of the ML/TF and FS risks associated with its business been submitted to support this applicant.  This assessment must include the risks associated with: 
i)  its customer base;
ii)  the VASP services provided;
iii) the distribution channels used; and 
iv) the geographical areas of operation.</t>
  </si>
  <si>
    <t>(viii) Do the proposed policies and procedures reflect a risk-based approach to on-going monitoring aligned to the ML/TF and FS risks presented by its proposed business?</t>
  </si>
  <si>
    <t>(v)  Will specialist training be provided to personnel in key AML/CFT and FS compliance roles for example the Money Laundering Reporting Office (MLRO), AML/CFT/FS compliance staff etc.?</t>
  </si>
  <si>
    <t>(i)  Exchange between virtual assets and fiat currencies
(ii) Exchange between one or more forms of virtual assets
(iii)  Transfer of virtual assets, that is to say, conduct a transaction on behalf of another person that moves a virtual asset from one virtual asset address or account to another
(iv)  Custodian wallet provider
(v) Participation in, and provision of, financial services related to an issuer’s offer or sale of a virtual asset or both</t>
  </si>
  <si>
    <r>
      <t xml:space="preserve">Please provide the Applicant Firm's risk rating of its VASP services as per its ML/TF and FS risk assessment:
</t>
    </r>
    <r>
      <rPr>
        <i/>
        <sz val="11"/>
        <color theme="1"/>
        <rFont val="Lato"/>
        <family val="2"/>
      </rPr>
      <t xml:space="preserve">Note:  
Should the risk rating classification in the Applicant Firm's ML/TF and FS risk assessment differ to that within this table, to the extent possible, please align to the ratings provided. </t>
    </r>
  </si>
  <si>
    <t>(i) the systems and controls the Applicant Firm has or will put in place to ensure that all branches and/or agents in all jurisdictions (including Ireland) comply with applicable  AML/CFT and FS requirements.  
Note that where this includes agents and/or branches located in another Member State, the AML/CFT and FS requirements of that Member State apply.</t>
  </si>
  <si>
    <t>(ii) the arrangements the Applicant Firm has or will put in place to ensure that agents are appropriately trained in AML/CFT and FS matters.</t>
  </si>
  <si>
    <t>(iv) the systems and controls the Applicant Firm has or will put in place to ensure that the agents do not expose the Applicant Firm to increased ML/TF and FS risks</t>
  </si>
  <si>
    <t>Criminal Justice (Money Laundering and Terrorist Financing) Acts 2010 to 2021</t>
  </si>
  <si>
    <t>Principal officer is defined in Section 106A of the CJA 2010 to 2021 and  means—
(a) in relation to a body corporate, any person who is a director, manager, secretary or other similar officer of the body corporate or any person purporting to act in such a capacity, or
(b) in relation to a partnership—
(i) any person who is a partner in, or a manager or other similar officer of, the partnership or any person purporting to act in such a capacity, and
(ii) in a case where a partner of the partnership is a body corporate, any person who is a director, manager, secretary or other similar officer of such a partner or any person purporting to act in such a capacity;</t>
  </si>
  <si>
    <t>(ix) Do the proposed policies and procedures reflect the requirement to update CDD on existing customers as prescribed by  the CJA 2010 to 2021?</t>
  </si>
  <si>
    <t>(‘the Applicant Firm’) has taken and shall continue to take reasonable steps to ensure that the following persons (as applicable) are fit and proper within the meaning of section 106 of the CJA 2010 to 2021 and are otherwise fit and proper persons.</t>
  </si>
  <si>
    <t>CJA 2010 to 2021</t>
  </si>
  <si>
    <t>(i)  Please confirm that an annual report that analyses and informs on the operation and effectiveness of the Applicant Firm’s AML/CFT and FS systems and controls will be prepared and presented to the Board to comply with CJA 2010 to 2021</t>
  </si>
  <si>
    <t xml:space="preserve">(i)  Does the Applicant Firm propose to place reliance on third parties in relation to its VASP activities, as defined in section 40 of the CJA 2010 to 2021?  </t>
  </si>
  <si>
    <t>(iii) Does the Applicant Firm have letters of reliance/assurance with all these firms in accordance with section 40 of the CJA 2010 to 2021?
If the answer is ‘No’, please confirm date by which such letters of reliance/assurance will be put in place.</t>
  </si>
  <si>
    <t>Virtual Asset Service Provider - Registration Validations</t>
  </si>
  <si>
    <t xml:space="preserve">Beneficial Ownership is defined in Section 26 of the Criminal Justice ( Money Laundering and Terrorist Financing ) Acts 2010 to 2021 ('CJA 2010 to 2021') .  In summary, it refers to a  25% or greater holding or control in the Applicant Firm.   For the purposes of this Application Form , the term 'Beneficial  Owner' is used  irrespective of whether the beneficial ownership is actual or proposed at the time the Application Form is submitted.  </t>
  </si>
  <si>
    <t xml:space="preserve">This Registration Form should be completed by any person who is seeking registration as a Virtual Asset Service Provider under Section 106G of the Criminal Justice ( Money Laundering and Terrorist Financing ) Acts 2010 to 2021  (the 'Applicant Firm'). </t>
  </si>
  <si>
    <t>(‘the Applicant Firm’) has an appropriate Anti-Money Laundering/Combating the Financing of Terrorism (AML/CFT) control framework in place to comply with its obligations under the Criminal Justice (Money Laundering and Terrorist Financing) Acts 2010 to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</si>
</sst>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dd\-mmm\-yyyy"/>
    <numFmt numFmtId="165" formatCode="0.0%"/>
    <numFmt numFmtId="166" formatCode="dd\ mmmm\ yyyy"/>
    <numFmt numFmtId="167" formatCode="dd\-mmmm\-yyyy"/>
    <numFmt numFmtId="168" formatCode="[&lt;=99999999]0#####\ 000\ 0000;0######\ 000\ 0000"/>
  </numFmts>
  <fonts count="61" x14ac:knownFonts="1">
    <font>
      <sz val="11"/>
      <color theme="1"/>
      <name val="Calibri"/>
      <family val="2"/>
      <scheme val="minor"/>
    </font>
    <font>
      <sz val="10"/>
      <color theme="1"/>
      <name val="Lato"/>
      <family val="2"/>
    </font>
    <font>
      <sz val="11"/>
      <color theme="1"/>
      <name val="Times New Roman"/>
      <family val="2"/>
    </font>
    <font>
      <sz val="12"/>
      <color theme="1"/>
      <name val="Calibri"/>
      <family val="2"/>
      <scheme val="minor"/>
    </font>
    <font>
      <b/>
      <sz val="12"/>
      <color theme="1"/>
      <name val="Calibri"/>
      <family val="2"/>
      <scheme val="minor"/>
    </font>
    <font>
      <sz val="11"/>
      <color theme="1"/>
      <name val="Lato"/>
      <family val="2"/>
    </font>
    <font>
      <b/>
      <sz val="11"/>
      <color theme="1"/>
      <name val="Lato"/>
      <family val="2"/>
    </font>
    <font>
      <b/>
      <sz val="10"/>
      <color theme="1"/>
      <name val="Lato"/>
      <family val="2"/>
    </font>
    <font>
      <sz val="8"/>
      <color rgb="FF000000"/>
      <name val="Segoe UI"/>
      <family val="2"/>
    </font>
    <font>
      <b/>
      <sz val="12"/>
      <color theme="1"/>
      <name val="Lato"/>
      <family val="2"/>
    </font>
    <font>
      <b/>
      <sz val="11"/>
      <color rgb="FFFF0000"/>
      <name val="Lato"/>
      <family val="2"/>
    </font>
    <font>
      <sz val="10"/>
      <color rgb="FF7F7F7F"/>
      <name val="Lato"/>
      <family val="2"/>
    </font>
    <font>
      <b/>
      <sz val="14"/>
      <color theme="1"/>
      <name val="Lato"/>
      <family val="2"/>
    </font>
    <font>
      <b/>
      <i/>
      <sz val="11"/>
      <color rgb="FFFF0000"/>
      <name val="Lato"/>
      <family val="2"/>
    </font>
    <font>
      <sz val="10"/>
      <name val="Lato"/>
      <family val="2"/>
    </font>
    <font>
      <b/>
      <sz val="10"/>
      <name val="Lato"/>
      <family val="2"/>
    </font>
    <font>
      <b/>
      <i/>
      <sz val="10"/>
      <color rgb="FFFF0000"/>
      <name val="Lato"/>
      <family val="2"/>
    </font>
    <font>
      <i/>
      <sz val="10"/>
      <color rgb="FFFF0000"/>
      <name val="Lato"/>
      <family val="2"/>
    </font>
    <font>
      <i/>
      <sz val="10"/>
      <color theme="1"/>
      <name val="Lato"/>
      <family val="2"/>
    </font>
    <font>
      <b/>
      <sz val="10"/>
      <color rgb="FFFF0000"/>
      <name val="Lato"/>
      <family val="2"/>
    </font>
    <font>
      <sz val="10"/>
      <color rgb="FFFF0000"/>
      <name val="Lato"/>
      <family val="2"/>
    </font>
    <font>
      <b/>
      <sz val="10"/>
      <color rgb="FF1F497D"/>
      <name val="Lato"/>
      <family val="2"/>
    </font>
    <font>
      <b/>
      <sz val="14"/>
      <color rgb="FFFF0000"/>
      <name val="Lato"/>
      <family val="2"/>
    </font>
    <font>
      <sz val="11"/>
      <color theme="1"/>
      <name val="Calibri"/>
      <family val="2"/>
      <scheme val="minor"/>
    </font>
    <font>
      <sz val="11"/>
      <color theme="0"/>
      <name val="Calibri"/>
      <family val="2"/>
      <scheme val="minor"/>
    </font>
    <font>
      <i/>
      <sz val="8"/>
      <color theme="1"/>
      <name val="Lato"/>
      <family val="2"/>
    </font>
    <font>
      <sz val="10.5"/>
      <color theme="1"/>
      <name val="Calibri"/>
      <family val="2"/>
      <scheme val="minor"/>
    </font>
    <font>
      <sz val="10.5"/>
      <color theme="1"/>
      <name val="Arial"/>
      <family val="2"/>
    </font>
    <font>
      <sz val="11"/>
      <name val="Lato"/>
      <family val="2"/>
    </font>
    <font>
      <b/>
      <sz val="11"/>
      <name val="Lato"/>
      <family val="2"/>
    </font>
    <font>
      <sz val="11"/>
      <color rgb="FF000000"/>
      <name val="Lato"/>
      <family val="2"/>
    </font>
    <font>
      <sz val="11"/>
      <color theme="0"/>
      <name val="Lato"/>
      <family val="2"/>
    </font>
    <font>
      <u/>
      <sz val="11"/>
      <color theme="10"/>
      <name val="Calibri"/>
      <family val="2"/>
      <scheme val="minor"/>
    </font>
    <font>
      <u/>
      <sz val="11"/>
      <color theme="10"/>
      <name val="Lato"/>
      <family val="2"/>
    </font>
    <font>
      <b/>
      <sz val="12"/>
      <color rgb="FFFF0000"/>
      <name val="Lato"/>
      <family val="2"/>
    </font>
    <font>
      <b/>
      <sz val="16"/>
      <color rgb="FFFF0000"/>
      <name val="Lato"/>
      <family val="2"/>
    </font>
    <font>
      <b/>
      <sz val="12"/>
      <name val="Lato"/>
      <family val="2"/>
    </font>
    <font>
      <u/>
      <sz val="11"/>
      <name val="Lato"/>
      <family val="2"/>
    </font>
    <font>
      <sz val="11"/>
      <color rgb="FFFF0000"/>
      <name val="Lato"/>
      <family val="2"/>
    </font>
    <font>
      <sz val="18"/>
      <color theme="1"/>
      <name val="Lato"/>
      <family val="2"/>
    </font>
    <font>
      <b/>
      <i/>
      <sz val="11"/>
      <color theme="1"/>
      <name val="Lato"/>
      <family val="2"/>
    </font>
    <font>
      <b/>
      <i/>
      <sz val="12"/>
      <color rgb="FFFF0000"/>
      <name val="Lato"/>
      <family val="2"/>
    </font>
    <font>
      <b/>
      <sz val="9"/>
      <color rgb="FFFF0000"/>
      <name val="Lato"/>
      <family val="2"/>
    </font>
    <font>
      <sz val="11"/>
      <color rgb="FF1F497D"/>
      <name val="Calibri"/>
      <family val="2"/>
      <scheme val="minor"/>
    </font>
    <font>
      <b/>
      <u/>
      <sz val="11"/>
      <name val="Lato"/>
      <family val="2"/>
    </font>
    <font>
      <sz val="11"/>
      <color rgb="FF1F497D"/>
      <name val="Lato"/>
      <family val="2"/>
    </font>
    <font>
      <i/>
      <sz val="11"/>
      <color theme="1"/>
      <name val="Lato"/>
      <family val="2"/>
    </font>
    <font>
      <sz val="16"/>
      <color theme="2"/>
      <name val="Lato"/>
      <family val="2"/>
    </font>
    <font>
      <sz val="12"/>
      <color theme="1"/>
      <name val="Lato"/>
      <family val="2"/>
    </font>
    <font>
      <b/>
      <sz val="18"/>
      <color theme="0"/>
      <name val="Lato"/>
      <family val="2"/>
    </font>
    <font>
      <sz val="12"/>
      <color rgb="FF00B050"/>
      <name val="Lato"/>
      <family val="2"/>
    </font>
    <font>
      <sz val="16"/>
      <color theme="1"/>
      <name val="Lato"/>
      <family val="2"/>
    </font>
    <font>
      <sz val="16"/>
      <color theme="0"/>
      <name val="Lato"/>
      <family val="2"/>
    </font>
    <font>
      <b/>
      <sz val="18"/>
      <color rgb="FFFF0000"/>
      <name val="Lato"/>
      <family val="2"/>
    </font>
    <font>
      <sz val="10"/>
      <name val="Calibri"/>
      <family val="2"/>
    </font>
    <font>
      <b/>
      <sz val="11"/>
      <color theme="4" tint="-0.499984740745262"/>
      <name val="Lato"/>
      <family val="2"/>
    </font>
    <font>
      <sz val="10"/>
      <color theme="1"/>
      <name val="Verdana"/>
      <family val="2"/>
    </font>
    <font>
      <b/>
      <sz val="12"/>
      <color rgb="FF1F497D"/>
      <name val="Lato"/>
      <family val="2"/>
    </font>
    <font>
      <b/>
      <sz val="11"/>
      <color theme="8" tint="-0.499984740745262"/>
      <name val="Lato"/>
      <family val="2"/>
    </font>
    <font>
      <b/>
      <sz val="12"/>
      <color theme="8" tint="-0.499984740745262"/>
      <name val="Lato"/>
      <family val="2"/>
    </font>
    <font>
      <sz val="12"/>
      <color theme="8" tint="-0.499984740745262"/>
      <name val="Calibri"/>
      <family val="2"/>
      <scheme val="minor"/>
    </font>
  </fonts>
  <fills count="13">
    <fill>
      <patternFill patternType="none"/>
    </fill>
    <fill>
      <patternFill patternType="gray125"/>
    </fill>
    <fill>
      <patternFill patternType="solid">
        <fgColor rgb="FFDBE5F1"/>
        <bgColor indexed="64"/>
      </patternFill>
    </fill>
    <fill>
      <patternFill patternType="solid">
        <fgColor theme="0"/>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4" tint="0.59999389629810485"/>
        <bgColor indexed="65"/>
      </patternFill>
    </fill>
    <fill>
      <patternFill patternType="solid">
        <fgColor theme="8"/>
      </patternFill>
    </fill>
    <fill>
      <patternFill patternType="solid">
        <fgColor rgb="FFFFFFFF"/>
        <bgColor indexed="64"/>
      </patternFill>
    </fill>
    <fill>
      <patternFill patternType="solid">
        <fgColor theme="0" tint="-0.24994659260841701"/>
        <bgColor indexed="64"/>
      </patternFill>
    </fill>
    <fill>
      <patternFill patternType="solid">
        <fgColor theme="2"/>
        <bgColor indexed="64"/>
      </patternFill>
    </fill>
    <fill>
      <patternFill patternType="solid">
        <fgColor theme="4" tint="-0.499984740745262"/>
        <bgColor indexed="64"/>
      </patternFill>
    </fill>
  </fills>
  <borders count="144">
    <border>
      <left/>
      <right/>
      <top/>
      <bottom/>
      <diagonal/>
    </border>
    <border>
      <left style="medium">
        <color rgb="FFBFBFBF"/>
      </left>
      <right style="medium">
        <color rgb="FFBFBFBF"/>
      </right>
      <top style="medium">
        <color rgb="FFBFBFBF"/>
      </top>
      <bottom style="medium">
        <color rgb="FFBFBFBF"/>
      </bottom>
      <diagonal/>
    </border>
    <border>
      <left/>
      <right style="medium">
        <color rgb="FFBFBFBF"/>
      </right>
      <top style="medium">
        <color rgb="FFBFBFBF"/>
      </top>
      <bottom style="medium">
        <color rgb="FFBFBFBF"/>
      </bottom>
      <diagonal/>
    </border>
    <border>
      <left style="medium">
        <color rgb="FFBFBFBF"/>
      </left>
      <right style="medium">
        <color rgb="FFBFBFBF"/>
      </right>
      <top/>
      <bottom style="medium">
        <color rgb="FFBFBFBF"/>
      </bottom>
      <diagonal/>
    </border>
    <border>
      <left/>
      <right style="medium">
        <color rgb="FFBFBFBF"/>
      </right>
      <top/>
      <bottom style="medium">
        <color rgb="FFBFBFBF"/>
      </bottom>
      <diagonal/>
    </border>
    <border>
      <left style="medium">
        <color rgb="FFBFBFBF"/>
      </left>
      <right/>
      <top/>
      <bottom/>
      <diagonal/>
    </border>
    <border>
      <left/>
      <right/>
      <top style="medium">
        <color rgb="FFBFBFBF"/>
      </top>
      <bottom/>
      <diagonal/>
    </border>
    <border>
      <left style="medium">
        <color rgb="FFBFBFBF"/>
      </left>
      <right/>
      <top style="medium">
        <color theme="0" tint="-0.34998626667073579"/>
      </top>
      <bottom/>
      <diagonal/>
    </border>
    <border>
      <left/>
      <right/>
      <top style="medium">
        <color theme="0" tint="-0.34998626667073579"/>
      </top>
      <bottom/>
      <diagonal/>
    </border>
    <border>
      <left style="medium">
        <color rgb="FFBFBFBF"/>
      </left>
      <right/>
      <top/>
      <bottom style="medium">
        <color theme="0" tint="-0.34998626667073579"/>
      </bottom>
      <diagonal/>
    </border>
    <border>
      <left/>
      <right/>
      <top/>
      <bottom style="medium">
        <color theme="0" tint="-0.34998626667073579"/>
      </bottom>
      <diagonal/>
    </border>
    <border>
      <left/>
      <right style="medium">
        <color theme="0" tint="-0.34998626667073579"/>
      </right>
      <top style="medium">
        <color theme="0" tint="-0.34998626667073579"/>
      </top>
      <bottom/>
      <diagonal/>
    </border>
    <border>
      <left/>
      <right style="medium">
        <color theme="0" tint="-0.34998626667073579"/>
      </right>
      <top/>
      <bottom style="medium">
        <color theme="0" tint="-0.34998626667073579"/>
      </bottom>
      <diagonal/>
    </border>
    <border>
      <left/>
      <right style="medium">
        <color theme="0" tint="-0.249977111117893"/>
      </right>
      <top style="medium">
        <color theme="0" tint="-0.249977111117893"/>
      </top>
      <bottom style="medium">
        <color theme="0" tint="-0.249977111117893"/>
      </bottom>
      <diagonal/>
    </border>
    <border>
      <left/>
      <right/>
      <top style="medium">
        <color theme="0" tint="-0.249977111117893"/>
      </top>
      <bottom/>
      <diagonal/>
    </border>
    <border>
      <left style="medium">
        <color theme="0" tint="-0.249977111117893"/>
      </left>
      <right/>
      <top/>
      <bottom style="medium">
        <color theme="0" tint="-0.249977111117893"/>
      </bottom>
      <diagonal/>
    </border>
    <border>
      <left/>
      <right style="medium">
        <color theme="0" tint="-0.249977111117893"/>
      </right>
      <top/>
      <bottom style="medium">
        <color theme="0" tint="-0.249977111117893"/>
      </bottom>
      <diagonal/>
    </border>
    <border>
      <left style="medium">
        <color theme="0" tint="-0.249977111117893"/>
      </left>
      <right/>
      <top/>
      <bottom/>
      <diagonal/>
    </border>
    <border>
      <left/>
      <right style="medium">
        <color theme="0" tint="-0.249977111117893"/>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top style="medium">
        <color theme="0" tint="-0.24994659260841701"/>
      </top>
      <bottom style="medium">
        <color theme="0" tint="-0.24994659260841701"/>
      </bottom>
      <diagonal/>
    </border>
    <border>
      <left/>
      <right/>
      <top style="thin">
        <color indexed="64"/>
      </top>
      <bottom/>
      <diagonal/>
    </border>
    <border>
      <left/>
      <right/>
      <top/>
      <bottom style="medium">
        <color rgb="FFBFBFBF"/>
      </bottom>
      <diagonal/>
    </border>
    <border>
      <left style="medium">
        <color rgb="FFBFBFBF"/>
      </left>
      <right/>
      <top style="medium">
        <color rgb="FFBFBFBF"/>
      </top>
      <bottom/>
      <diagonal/>
    </border>
    <border>
      <left/>
      <right style="medium">
        <color rgb="FFBFBFBF"/>
      </right>
      <top style="medium">
        <color rgb="FFBFBFBF"/>
      </top>
      <bottom/>
      <diagonal/>
    </border>
    <border>
      <left style="medium">
        <color rgb="FFBFBFBF"/>
      </left>
      <right/>
      <top/>
      <bottom style="medium">
        <color rgb="FFBFBFBF"/>
      </bottom>
      <diagonal/>
    </border>
    <border>
      <left style="thin">
        <color theme="0" tint="-0.249977111117893"/>
      </left>
      <right style="medium">
        <color theme="0" tint="-0.24994659260841701"/>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medium">
        <color theme="0" tint="-0.24994659260841701"/>
      </left>
      <right/>
      <top style="thin">
        <color theme="0" tint="-0.249977111117893"/>
      </top>
      <bottom style="thin">
        <color theme="0" tint="-0.249977111117893"/>
      </bottom>
      <diagonal/>
    </border>
    <border>
      <left style="medium">
        <color theme="0" tint="-0.24994659260841701"/>
      </left>
      <right style="thin">
        <color theme="0" tint="-0.249977111117893"/>
      </right>
      <top style="medium">
        <color theme="0" tint="-0.24994659260841701"/>
      </top>
      <bottom style="thin">
        <color theme="0" tint="-0.249977111117893"/>
      </bottom>
      <diagonal/>
    </border>
    <border>
      <left style="thin">
        <color theme="0" tint="-0.249977111117893"/>
      </left>
      <right style="thin">
        <color theme="0" tint="-0.249977111117893"/>
      </right>
      <top style="medium">
        <color theme="0" tint="-0.24994659260841701"/>
      </top>
      <bottom style="thin">
        <color theme="0" tint="-0.249977111117893"/>
      </bottom>
      <diagonal/>
    </border>
    <border>
      <left style="thin">
        <color theme="0" tint="-0.249977111117893"/>
      </left>
      <right style="thin">
        <color theme="0" tint="-0.249977111117893"/>
      </right>
      <top/>
      <bottom style="medium">
        <color theme="0" tint="-0.249977111117893"/>
      </bottom>
      <diagonal/>
    </border>
    <border>
      <left style="medium">
        <color theme="0" tint="-0.24994659260841701"/>
      </left>
      <right style="medium">
        <color theme="0" tint="-0.24994659260841701"/>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4659260841701"/>
      </bottom>
      <diagonal/>
    </border>
    <border>
      <left style="medium">
        <color theme="0" tint="-0.24994659260841701"/>
      </left>
      <right style="thin">
        <color theme="0" tint="-0.249977111117893"/>
      </right>
      <top style="thin">
        <color theme="0" tint="-0.249977111117893"/>
      </top>
      <bottom style="medium">
        <color theme="0" tint="-0.24994659260841701"/>
      </bottom>
      <diagonal/>
    </border>
    <border>
      <left style="thin">
        <color theme="0" tint="-0.249977111117893"/>
      </left>
      <right style="medium">
        <color theme="0" tint="-0.249977111117893"/>
      </right>
      <top style="thin">
        <color theme="0" tint="-0.249977111117893"/>
      </top>
      <bottom/>
      <diagonal/>
    </border>
    <border>
      <left/>
      <right style="medium">
        <color theme="0" tint="-0.24994659260841701"/>
      </right>
      <top/>
      <bottom style="thin">
        <color theme="0" tint="-0.249977111117893"/>
      </bottom>
      <diagonal/>
    </border>
    <border>
      <left style="thin">
        <color theme="0" tint="-0.249977111117893"/>
      </left>
      <right style="medium">
        <color rgb="FFBFBFBF"/>
      </right>
      <top/>
      <bottom style="medium">
        <color theme="0" tint="-0.249977111117893"/>
      </bottom>
      <diagonal/>
    </border>
    <border>
      <left style="medium">
        <color theme="0" tint="-0.34998626667073579"/>
      </left>
      <right style="thin">
        <color theme="0" tint="-4.9989318521683403E-2"/>
      </right>
      <top style="thin">
        <color theme="0" tint="-4.9989318521683403E-2"/>
      </top>
      <bottom style="thin">
        <color theme="0" tint="-4.9989318521683403E-2"/>
      </bottom>
      <diagonal/>
    </border>
    <border>
      <left style="thin">
        <color theme="0" tint="-4.9989318521683403E-2"/>
      </left>
      <right style="medium">
        <color theme="0" tint="-0.34998626667073579"/>
      </right>
      <top style="thin">
        <color theme="0" tint="-4.9989318521683403E-2"/>
      </top>
      <bottom style="thin">
        <color theme="0" tint="-4.9989318521683403E-2"/>
      </bottom>
      <diagonal/>
    </border>
    <border>
      <left style="medium">
        <color theme="0" tint="-0.249977111117893"/>
      </left>
      <right style="thin">
        <color theme="0" tint="-4.9989318521683403E-2"/>
      </right>
      <top style="thin">
        <color theme="0" tint="-4.9989318521683403E-2"/>
      </top>
      <bottom style="thin">
        <color theme="0" tint="-4.9989318521683403E-2"/>
      </bottom>
      <diagonal/>
    </border>
    <border>
      <left style="thin">
        <color theme="0" tint="-4.9989318521683403E-2"/>
      </left>
      <right style="medium">
        <color theme="0" tint="-0.249977111117893"/>
      </right>
      <top style="thin">
        <color theme="0" tint="-4.9989318521683403E-2"/>
      </top>
      <bottom style="thin">
        <color theme="0" tint="-4.9989318521683403E-2"/>
      </bottom>
      <diagonal/>
    </border>
    <border>
      <left style="medium">
        <color theme="0" tint="-0.249977111117893"/>
      </left>
      <right/>
      <top style="thin">
        <color theme="0" tint="-4.9989318521683403E-2"/>
      </top>
      <bottom style="thin">
        <color theme="0" tint="-4.9989318521683403E-2"/>
      </bottom>
      <diagonal/>
    </border>
    <border>
      <left/>
      <right style="medium">
        <color theme="0" tint="-0.249977111117893"/>
      </right>
      <top style="thin">
        <color theme="0" tint="-4.9989318521683403E-2"/>
      </top>
      <bottom style="thin">
        <color theme="0" tint="-4.9989318521683403E-2"/>
      </bottom>
      <diagonal/>
    </border>
    <border>
      <left style="medium">
        <color theme="0" tint="-0.34998626667073579"/>
      </left>
      <right style="thin">
        <color theme="0" tint="-4.9989318521683403E-2"/>
      </right>
      <top style="medium">
        <color theme="0" tint="-0.34998626667073579"/>
      </top>
      <bottom/>
      <diagonal/>
    </border>
    <border>
      <left style="thin">
        <color theme="0" tint="-4.9989318521683403E-2"/>
      </left>
      <right style="medium">
        <color theme="0" tint="-0.34998626667073579"/>
      </right>
      <top style="medium">
        <color theme="0" tint="-0.34998626667073579"/>
      </top>
      <bottom/>
      <diagonal/>
    </border>
    <border>
      <left style="medium">
        <color theme="0" tint="-0.34998626667073579"/>
      </left>
      <right style="thin">
        <color theme="0" tint="-4.9989318521683403E-2"/>
      </right>
      <top/>
      <bottom style="thin">
        <color theme="0" tint="-4.9989318521683403E-2"/>
      </bottom>
      <diagonal/>
    </border>
    <border>
      <left style="thin">
        <color theme="0" tint="-4.9989318521683403E-2"/>
      </left>
      <right style="medium">
        <color theme="0" tint="-0.34998626667073579"/>
      </right>
      <top/>
      <bottom style="thin">
        <color theme="0" tint="-4.9989318521683403E-2"/>
      </bottom>
      <diagonal/>
    </border>
    <border>
      <left/>
      <right style="medium">
        <color theme="0" tint="-0.34998626667073579"/>
      </right>
      <top style="thin">
        <color theme="0" tint="-4.9989318521683403E-2"/>
      </top>
      <bottom style="thin">
        <color theme="0" tint="-4.9989318521683403E-2"/>
      </bottom>
      <diagonal/>
    </border>
    <border>
      <left style="medium">
        <color theme="0" tint="-0.34998626667073579"/>
      </left>
      <right/>
      <top style="thin">
        <color theme="0" tint="-4.9989318521683403E-2"/>
      </top>
      <bottom style="thin">
        <color theme="0" tint="-4.9989318521683403E-2"/>
      </bottom>
      <diagonal/>
    </border>
    <border>
      <left/>
      <right style="medium">
        <color theme="0" tint="-0.34998626667073579"/>
      </right>
      <top style="thin">
        <color theme="0" tint="-4.9989318521683403E-2"/>
      </top>
      <bottom style="medium">
        <color theme="0" tint="-0.34998626667073579"/>
      </bottom>
      <diagonal/>
    </border>
    <border>
      <left style="medium">
        <color theme="0" tint="-0.34998626667073579"/>
      </left>
      <right/>
      <top style="thin">
        <color theme="0" tint="-4.9989318521683403E-2"/>
      </top>
      <bottom style="medium">
        <color theme="0" tint="-0.34998626667073579"/>
      </bottom>
      <diagonal/>
    </border>
    <border>
      <left style="thin">
        <color theme="0" tint="-4.9989318521683403E-2"/>
      </left>
      <right style="medium">
        <color theme="0" tint="-0.249977111117893"/>
      </right>
      <top style="medium">
        <color theme="0" tint="-0.249977111117893"/>
      </top>
      <bottom style="thin">
        <color theme="0" tint="-4.9989318521683403E-2"/>
      </bottom>
      <diagonal/>
    </border>
    <border>
      <left style="medium">
        <color theme="0" tint="-0.249977111117893"/>
      </left>
      <right style="thin">
        <color theme="0" tint="-4.9989318521683403E-2"/>
      </right>
      <top style="thin">
        <color theme="0" tint="-4.9989318521683403E-2"/>
      </top>
      <bottom/>
      <diagonal/>
    </border>
    <border>
      <left style="medium">
        <color theme="0" tint="-0.249977111117893"/>
      </left>
      <right style="thin">
        <color theme="0" tint="-4.9989318521683403E-2"/>
      </right>
      <top/>
      <bottom/>
      <diagonal/>
    </border>
    <border>
      <left style="medium">
        <color theme="0" tint="-0.249977111117893"/>
      </left>
      <right/>
      <top style="thin">
        <color theme="0" tint="-4.9989318521683403E-2"/>
      </top>
      <bottom/>
      <diagonal/>
    </border>
    <border>
      <left/>
      <right style="medium">
        <color theme="0" tint="-0.34998626667073579"/>
      </right>
      <top style="medium">
        <color theme="0" tint="-0.34998626667073579"/>
      </top>
      <bottom style="thin">
        <color theme="0" tint="-4.9989318521683403E-2"/>
      </bottom>
      <diagonal/>
    </border>
    <border>
      <left style="medium">
        <color theme="0" tint="-0.34998626667073579"/>
      </left>
      <right/>
      <top style="medium">
        <color theme="0" tint="-0.34998626667073579"/>
      </top>
      <bottom style="thin">
        <color theme="0" tint="-4.9989318521683403E-2"/>
      </bottom>
      <diagonal/>
    </border>
    <border>
      <left style="medium">
        <color theme="0" tint="-0.34998626667073579"/>
      </left>
      <right/>
      <top/>
      <bottom style="medium">
        <color theme="0" tint="-0.34998626667073579"/>
      </bottom>
      <diagonal/>
    </border>
    <border>
      <left style="medium">
        <color theme="0" tint="-0.34998626667073579"/>
      </left>
      <right style="thin">
        <color theme="0" tint="-4.9989318521683403E-2"/>
      </right>
      <top style="medium">
        <color theme="0" tint="-0.34998626667073579"/>
      </top>
      <bottom style="thin">
        <color theme="0" tint="-4.9989318521683403E-2"/>
      </bottom>
      <diagonal/>
    </border>
    <border>
      <left style="thin">
        <color theme="0" tint="-4.9989318521683403E-2"/>
      </left>
      <right style="medium">
        <color theme="0" tint="-0.34998626667073579"/>
      </right>
      <top style="medium">
        <color theme="0" tint="-0.34998626667073579"/>
      </top>
      <bottom style="thin">
        <color theme="0" tint="-4.9989318521683403E-2"/>
      </bottom>
      <diagonal/>
    </border>
    <border>
      <left style="medium">
        <color theme="0" tint="-0.34998626667073579"/>
      </left>
      <right style="thin">
        <color theme="0" tint="-4.9989318521683403E-2"/>
      </right>
      <top style="thin">
        <color theme="0" tint="-4.9989318521683403E-2"/>
      </top>
      <bottom style="medium">
        <color theme="0" tint="-0.34998626667073579"/>
      </bottom>
      <diagonal/>
    </border>
    <border>
      <left style="thin">
        <color theme="0" tint="-4.9989318521683403E-2"/>
      </left>
      <right style="medium">
        <color theme="0" tint="-0.34998626667073579"/>
      </right>
      <top style="thin">
        <color theme="0" tint="-4.9989318521683403E-2"/>
      </top>
      <bottom style="medium">
        <color theme="0" tint="-0.34998626667073579"/>
      </bottom>
      <diagonal/>
    </border>
    <border>
      <left/>
      <right style="medium">
        <color theme="0" tint="-0.34998626667073579"/>
      </right>
      <top style="thin">
        <color theme="0" tint="-4.9989318521683403E-2"/>
      </top>
      <bottom/>
      <diagonal/>
    </border>
    <border>
      <left style="medium">
        <color theme="0" tint="-0.34998626667073579"/>
      </left>
      <right/>
      <top style="thin">
        <color theme="0" tint="-4.9989318521683403E-2"/>
      </top>
      <bottom/>
      <diagonal/>
    </border>
    <border>
      <left/>
      <right style="medium">
        <color theme="0" tint="-0.34998626667073579"/>
      </right>
      <top/>
      <bottom style="thin">
        <color theme="0" tint="-4.9989318521683403E-2"/>
      </bottom>
      <diagonal/>
    </border>
    <border>
      <left style="medium">
        <color theme="0" tint="-0.34998626667073579"/>
      </left>
      <right/>
      <top/>
      <bottom style="thin">
        <color theme="0" tint="-4.9989318521683403E-2"/>
      </bottom>
      <diagonal/>
    </border>
    <border>
      <left style="medium">
        <color theme="0" tint="-0.34998626667073579"/>
      </left>
      <right/>
      <top/>
      <bottom/>
      <diagonal/>
    </border>
    <border>
      <left style="thin">
        <color theme="0" tint="-4.9989318521683403E-2"/>
      </left>
      <right style="thin">
        <color theme="0" tint="-4.9989318521683403E-2"/>
      </right>
      <top style="medium">
        <color theme="0" tint="-0.34998626667073579"/>
      </top>
      <bottom style="thin">
        <color theme="0" tint="-4.9989318521683403E-2"/>
      </bottom>
      <diagonal/>
    </border>
    <border>
      <left style="thin">
        <color theme="0" tint="-4.9989318521683403E-2"/>
      </left>
      <right style="thin">
        <color theme="0" tint="-4.9989318521683403E-2"/>
      </right>
      <top style="thin">
        <color theme="0" tint="-4.9989318521683403E-2"/>
      </top>
      <bottom style="medium">
        <color theme="0" tint="-0.3499862666707357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theme="0" tint="-0.34998626667073579"/>
      </left>
      <right style="thin">
        <color theme="0" tint="-4.9989318521683403E-2"/>
      </right>
      <top style="medium">
        <color theme="0" tint="-0.34998626667073579"/>
      </top>
      <bottom style="medium">
        <color theme="0" tint="-0.34998626667073579"/>
      </bottom>
      <diagonal/>
    </border>
    <border>
      <left style="thin">
        <color theme="0" tint="-4.9989318521683403E-2"/>
      </left>
      <right style="thin">
        <color theme="0" tint="-4.9989318521683403E-2"/>
      </right>
      <top style="medium">
        <color theme="0" tint="-0.34998626667073579"/>
      </top>
      <bottom style="medium">
        <color theme="0" tint="-0.34998626667073579"/>
      </bottom>
      <diagonal/>
    </border>
    <border>
      <left style="thin">
        <color theme="0" tint="-4.9989318521683403E-2"/>
      </left>
      <right/>
      <top style="medium">
        <color theme="0" tint="-0.34998626667073579"/>
      </top>
      <bottom style="medium">
        <color theme="0" tint="-0.34998626667073579"/>
      </bottom>
      <diagonal/>
    </border>
    <border>
      <left style="medium">
        <color theme="0" tint="-0.34998626667073579"/>
      </left>
      <right style="thin">
        <color theme="0" tint="-4.9989318521683403E-2"/>
      </right>
      <top style="thin">
        <color theme="0" tint="-4.9989318521683403E-2"/>
      </top>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style="medium">
        <color theme="0" tint="-0.34998626667073579"/>
      </right>
      <top style="thin">
        <color theme="0" tint="-4.9989318521683403E-2"/>
      </top>
      <bottom/>
      <diagonal/>
    </border>
    <border>
      <left/>
      <right/>
      <top style="medium">
        <color theme="0" tint="-0.34998626667073579"/>
      </top>
      <bottom style="thin">
        <color theme="0" tint="-4.9989318521683403E-2"/>
      </bottom>
      <diagonal/>
    </border>
    <border>
      <left style="medium">
        <color theme="0" tint="-0.34998626667073579"/>
      </left>
      <right style="thin">
        <color theme="0" tint="-4.9989318521683403E-2"/>
      </right>
      <top/>
      <bottom/>
      <diagonal/>
    </border>
    <border>
      <left style="thin">
        <color theme="0" tint="-4.9989318521683403E-2"/>
      </left>
      <right style="thin">
        <color theme="0" tint="-4.9989318521683403E-2"/>
      </right>
      <top/>
      <bottom/>
      <diagonal/>
    </border>
    <border>
      <left style="thin">
        <color theme="0" tint="-4.9989318521683403E-2"/>
      </left>
      <right style="medium">
        <color theme="0" tint="-0.34998626667073579"/>
      </right>
      <top/>
      <bottom/>
      <diagonal/>
    </border>
    <border>
      <left/>
      <right style="thin">
        <color theme="0" tint="-4.9989318521683403E-2"/>
      </right>
      <top style="medium">
        <color theme="0" tint="-0.34998626667073579"/>
      </top>
      <bottom/>
      <diagonal/>
    </border>
    <border>
      <left/>
      <right/>
      <top style="thin">
        <color theme="0" tint="-4.9989318521683403E-2"/>
      </top>
      <bottom style="medium">
        <color theme="0" tint="-0.34998626667073579"/>
      </bottom>
      <diagonal/>
    </border>
    <border>
      <left style="medium">
        <color theme="0" tint="-0.34998626667073579"/>
      </left>
      <right style="thin">
        <color theme="0" tint="-4.9989318521683403E-2"/>
      </right>
      <top/>
      <bottom style="medium">
        <color theme="0" tint="-0.34998626667073579"/>
      </bottom>
      <diagonal/>
    </border>
    <border>
      <left style="thin">
        <color theme="0" tint="-4.9989318521683403E-2"/>
      </left>
      <right style="thin">
        <color theme="0" tint="-4.9989318521683403E-2"/>
      </right>
      <top/>
      <bottom style="medium">
        <color theme="0" tint="-0.34998626667073579"/>
      </bottom>
      <diagonal/>
    </border>
    <border>
      <left style="thin">
        <color theme="0" tint="-4.9989318521683403E-2"/>
      </left>
      <right style="medium">
        <color theme="0" tint="-0.34998626667073579"/>
      </right>
      <top/>
      <bottom style="medium">
        <color theme="0" tint="-0.34998626667073579"/>
      </bottom>
      <diagonal/>
    </border>
    <border>
      <left/>
      <right/>
      <top style="thin">
        <color theme="0" tint="-4.9989318521683403E-2"/>
      </top>
      <bottom style="thin">
        <color theme="0" tint="-4.9989318521683403E-2"/>
      </bottom>
      <diagonal/>
    </border>
    <border>
      <left style="medium">
        <color theme="0" tint="-0.34998626667073579"/>
      </left>
      <right style="medium">
        <color theme="0" tint="-4.9989318521683403E-2"/>
      </right>
      <top style="medium">
        <color theme="0" tint="-4.9989318521683403E-2"/>
      </top>
      <bottom style="medium">
        <color theme="0" tint="-4.9989318521683403E-2"/>
      </bottom>
      <diagonal/>
    </border>
    <border>
      <left style="medium">
        <color theme="0" tint="-4.9989318521683403E-2"/>
      </left>
      <right style="medium">
        <color theme="0" tint="-4.9989318521683403E-2"/>
      </right>
      <top style="medium">
        <color theme="0" tint="-4.9989318521683403E-2"/>
      </top>
      <bottom style="medium">
        <color theme="0" tint="-4.9989318521683403E-2"/>
      </bottom>
      <diagonal/>
    </border>
    <border>
      <left style="medium">
        <color theme="0" tint="-4.9989318521683403E-2"/>
      </left>
      <right style="medium">
        <color theme="0" tint="-0.34998626667073579"/>
      </right>
      <top style="medium">
        <color theme="0" tint="-4.9989318521683403E-2"/>
      </top>
      <bottom style="medium">
        <color theme="0" tint="-4.9989318521683403E-2"/>
      </bottom>
      <diagonal/>
    </border>
    <border>
      <left style="medium">
        <color theme="0" tint="-0.34998626667073579"/>
      </left>
      <right style="medium">
        <color theme="0" tint="-4.9989318521683403E-2"/>
      </right>
      <top style="medium">
        <color theme="0" tint="-4.9989318521683403E-2"/>
      </top>
      <bottom style="medium">
        <color theme="0" tint="-0.34998626667073579"/>
      </bottom>
      <diagonal/>
    </border>
    <border>
      <left style="medium">
        <color theme="0" tint="-4.9989318521683403E-2"/>
      </left>
      <right style="medium">
        <color theme="0" tint="-4.9989318521683403E-2"/>
      </right>
      <top style="medium">
        <color theme="0" tint="-4.9989318521683403E-2"/>
      </top>
      <bottom style="medium">
        <color theme="0" tint="-0.34998626667073579"/>
      </bottom>
      <diagonal/>
    </border>
    <border>
      <left style="medium">
        <color theme="0" tint="-4.9989318521683403E-2"/>
      </left>
      <right style="medium">
        <color theme="0" tint="-0.34998626667073579"/>
      </right>
      <top style="medium">
        <color theme="0" tint="-4.9989318521683403E-2"/>
      </top>
      <bottom style="medium">
        <color theme="0" tint="-0.34998626667073579"/>
      </bottom>
      <diagonal/>
    </border>
    <border>
      <left style="medium">
        <color theme="0" tint="-0.34998626667073579"/>
      </left>
      <right style="medium">
        <color theme="0" tint="-4.9989318521683403E-2"/>
      </right>
      <top/>
      <bottom style="medium">
        <color theme="0" tint="-4.9989318521683403E-2"/>
      </bottom>
      <diagonal/>
    </border>
    <border>
      <left style="medium">
        <color theme="0" tint="-4.9989318521683403E-2"/>
      </left>
      <right style="medium">
        <color theme="0" tint="-4.9989318521683403E-2"/>
      </right>
      <top/>
      <bottom style="medium">
        <color theme="0" tint="-4.9989318521683403E-2"/>
      </bottom>
      <diagonal/>
    </border>
    <border>
      <left style="medium">
        <color theme="0" tint="-4.9989318521683403E-2"/>
      </left>
      <right style="medium">
        <color theme="0" tint="-0.34998626667073579"/>
      </right>
      <top/>
      <bottom style="medium">
        <color theme="0" tint="-4.9989318521683403E-2"/>
      </bottom>
      <diagonal/>
    </border>
    <border>
      <left style="medium">
        <color theme="0" tint="-0.34998626667073579"/>
      </left>
      <right style="medium">
        <color theme="0" tint="-4.9989318521683403E-2"/>
      </right>
      <top style="medium">
        <color theme="0" tint="-0.34998626667073579"/>
      </top>
      <bottom style="medium">
        <color theme="0" tint="-0.34998626667073579"/>
      </bottom>
      <diagonal/>
    </border>
    <border>
      <left style="medium">
        <color theme="0" tint="-4.9989318521683403E-2"/>
      </left>
      <right style="medium">
        <color theme="0" tint="-4.9989318521683403E-2"/>
      </right>
      <top style="medium">
        <color theme="0" tint="-0.34998626667073579"/>
      </top>
      <bottom style="medium">
        <color theme="0" tint="-0.34998626667073579"/>
      </bottom>
      <diagonal/>
    </border>
    <border>
      <left style="medium">
        <color theme="0" tint="-4.9989318521683403E-2"/>
      </left>
      <right style="medium">
        <color theme="0" tint="-0.34998626667073579"/>
      </right>
      <top style="medium">
        <color theme="0" tint="-0.34998626667073579"/>
      </top>
      <bottom style="medium">
        <color theme="0" tint="-0.34998626667073579"/>
      </bottom>
      <diagonal/>
    </border>
    <border>
      <left style="medium">
        <color theme="0" tint="-0.34998626667073579"/>
      </left>
      <right style="medium">
        <color theme="0" tint="-4.9989318521683403E-2"/>
      </right>
      <top/>
      <bottom/>
      <diagonal/>
    </border>
    <border>
      <left style="medium">
        <color theme="0" tint="-4.9989318521683403E-2"/>
      </left>
      <right style="medium">
        <color theme="0" tint="-4.9989318521683403E-2"/>
      </right>
      <top/>
      <bottom/>
      <diagonal/>
    </border>
    <border>
      <left style="medium">
        <color theme="0" tint="-4.9989318521683403E-2"/>
      </left>
      <right style="medium">
        <color theme="0" tint="-0.34998626667073579"/>
      </right>
      <top/>
      <bottom/>
      <diagonal/>
    </border>
    <border>
      <left style="medium">
        <color theme="0" tint="-0.34998626667073579"/>
      </left>
      <right/>
      <top style="medium">
        <color theme="0" tint="-0.34998626667073579"/>
      </top>
      <bottom/>
      <diagonal/>
    </border>
    <border>
      <left/>
      <right style="medium">
        <color theme="0" tint="-0.34998626667073579"/>
      </right>
      <top/>
      <bottom/>
      <diagonal/>
    </border>
    <border>
      <left/>
      <right/>
      <top/>
      <bottom style="thin">
        <color theme="0" tint="-4.9989318521683403E-2"/>
      </bottom>
      <diagonal/>
    </border>
    <border>
      <left style="medium">
        <color theme="0" tint="-0.24994659260841701"/>
      </left>
      <right style="thin">
        <color theme="0" tint="-4.9989318521683403E-2"/>
      </right>
      <top style="thin">
        <color theme="0" tint="-4.9989318521683403E-2"/>
      </top>
      <bottom style="thin">
        <color theme="0" tint="-4.9989318521683403E-2"/>
      </bottom>
      <diagonal/>
    </border>
    <border>
      <left style="thin">
        <color theme="0" tint="-4.9989318521683403E-2"/>
      </left>
      <right style="medium">
        <color theme="0" tint="-0.24994659260841701"/>
      </right>
      <top style="thin">
        <color theme="0" tint="-4.9989318521683403E-2"/>
      </top>
      <bottom style="thin">
        <color theme="0" tint="-4.9989318521683403E-2"/>
      </bottom>
      <diagonal/>
    </border>
    <border>
      <left style="medium">
        <color theme="0" tint="-0.24994659260841701"/>
      </left>
      <right style="thin">
        <color theme="0" tint="-4.9989318521683403E-2"/>
      </right>
      <top style="thin">
        <color theme="0" tint="-4.9989318521683403E-2"/>
      </top>
      <bottom style="medium">
        <color theme="0" tint="-0.24994659260841701"/>
      </bottom>
      <diagonal/>
    </border>
    <border>
      <left style="thin">
        <color theme="0" tint="-4.9989318521683403E-2"/>
      </left>
      <right style="thin">
        <color theme="0" tint="-4.9989318521683403E-2"/>
      </right>
      <top style="thin">
        <color theme="0" tint="-4.9989318521683403E-2"/>
      </top>
      <bottom style="medium">
        <color theme="0" tint="-0.24994659260841701"/>
      </bottom>
      <diagonal/>
    </border>
    <border>
      <left style="thin">
        <color theme="0" tint="-4.9989318521683403E-2"/>
      </left>
      <right style="medium">
        <color theme="0" tint="-0.24994659260841701"/>
      </right>
      <top style="thin">
        <color theme="0" tint="-4.9989318521683403E-2"/>
      </top>
      <bottom style="medium">
        <color theme="0" tint="-0.24994659260841701"/>
      </bottom>
      <diagonal/>
    </border>
    <border>
      <left style="medium">
        <color theme="0" tint="-0.24994659260841701"/>
      </left>
      <right style="thin">
        <color theme="0" tint="-4.9989318521683403E-2"/>
      </right>
      <top/>
      <bottom style="thin">
        <color theme="0" tint="-4.9989318521683403E-2"/>
      </bottom>
      <diagonal/>
    </border>
    <border>
      <left style="thin">
        <color theme="0" tint="-4.9989318521683403E-2"/>
      </left>
      <right style="medium">
        <color theme="0" tint="-0.24994659260841701"/>
      </right>
      <top/>
      <bottom style="thin">
        <color theme="0" tint="-4.9989318521683403E-2"/>
      </bottom>
      <diagonal/>
    </border>
    <border>
      <left style="thin">
        <color theme="0" tint="-4.9989318521683403E-2"/>
      </left>
      <right style="medium">
        <color theme="0" tint="-0.34998626667073579"/>
      </right>
      <top style="medium">
        <color theme="0" tint="-0.34998626667073579"/>
      </top>
      <bottom style="medium">
        <color theme="0" tint="-0.34998626667073579"/>
      </bottom>
      <diagonal/>
    </border>
    <border>
      <left style="medium">
        <color rgb="FFBFBFBF"/>
      </left>
      <right/>
      <top/>
      <bottom style="medium">
        <color theme="0" tint="-0.249977111117893"/>
      </bottom>
      <diagonal/>
    </border>
    <border>
      <left style="medium">
        <color theme="0" tint="-0.249977111117893"/>
      </left>
      <right style="thin">
        <color theme="0" tint="-4.9989318521683403E-2"/>
      </right>
      <top/>
      <bottom style="thin">
        <color theme="0" tint="-4.9989318521683403E-2"/>
      </bottom>
      <diagonal/>
    </border>
    <border>
      <left style="thin">
        <color theme="0" tint="-4.9989318521683403E-2"/>
      </left>
      <right style="medium">
        <color theme="0" tint="-0.249977111117893"/>
      </right>
      <top/>
      <bottom style="thin">
        <color theme="0" tint="-4.9989318521683403E-2"/>
      </bottom>
      <diagonal/>
    </border>
    <border>
      <left/>
      <right/>
      <top style="thin">
        <color theme="0" tint="-4.9989318521683403E-2"/>
      </top>
      <bottom/>
      <diagonal/>
    </border>
    <border>
      <left style="medium">
        <color theme="0" tint="-0.249977111117893"/>
      </left>
      <right style="thin">
        <color theme="0" tint="-4.9989318521683403E-2"/>
      </right>
      <top style="medium">
        <color theme="0" tint="-0.34998626667073579"/>
      </top>
      <bottom style="thin">
        <color theme="0" tint="-4.9989318521683403E-2"/>
      </bottom>
      <diagonal/>
    </border>
    <border>
      <left style="thin">
        <color theme="0" tint="-4.9989318521683403E-2"/>
      </left>
      <right style="medium">
        <color theme="0" tint="-0.249977111117893"/>
      </right>
      <top style="medium">
        <color theme="0" tint="-0.34998626667073579"/>
      </top>
      <bottom style="thin">
        <color theme="0" tint="-4.9989318521683403E-2"/>
      </bottom>
      <diagonal/>
    </border>
    <border>
      <left style="medium">
        <color theme="0" tint="-0.249977111117893"/>
      </left>
      <right style="thin">
        <color theme="0" tint="-4.9989318521683403E-2"/>
      </right>
      <top style="thin">
        <color theme="0" tint="-4.9989318521683403E-2"/>
      </top>
      <bottom style="medium">
        <color theme="0" tint="-0.249977111117893"/>
      </bottom>
      <diagonal/>
    </border>
    <border>
      <left style="thin">
        <color theme="0" tint="-4.9989318521683403E-2"/>
      </left>
      <right style="thin">
        <color theme="0" tint="-4.9989318521683403E-2"/>
      </right>
      <top style="thin">
        <color theme="0" tint="-4.9989318521683403E-2"/>
      </top>
      <bottom style="medium">
        <color theme="0" tint="-0.249977111117893"/>
      </bottom>
      <diagonal/>
    </border>
    <border>
      <left style="thin">
        <color theme="0" tint="-4.9989318521683403E-2"/>
      </left>
      <right style="medium">
        <color theme="0" tint="-0.249977111117893"/>
      </right>
      <top style="thin">
        <color theme="0" tint="-4.9989318521683403E-2"/>
      </top>
      <bottom style="medium">
        <color theme="0" tint="-0.249977111117893"/>
      </bottom>
      <diagonal/>
    </border>
    <border>
      <left/>
      <right style="thin">
        <color theme="0" tint="-4.9989318521683403E-2"/>
      </right>
      <top style="medium">
        <color theme="0" tint="-0.34998626667073579"/>
      </top>
      <bottom style="thin">
        <color theme="0" tint="-4.9989318521683403E-2"/>
      </bottom>
      <diagonal/>
    </border>
    <border>
      <left/>
      <right style="thin">
        <color theme="0" tint="-4.9989318521683403E-2"/>
      </right>
      <top style="thin">
        <color theme="0" tint="-4.9989318521683403E-2"/>
      </top>
      <bottom style="medium">
        <color theme="0" tint="-0.34998626667073579"/>
      </bottom>
      <diagonal/>
    </border>
    <border>
      <left/>
      <right style="thin">
        <color theme="0" tint="-4.9989318521683403E-2"/>
      </right>
      <top style="thin">
        <color theme="0" tint="-4.9989318521683403E-2"/>
      </top>
      <bottom style="thin">
        <color theme="0" tint="-4.9989318521683403E-2"/>
      </bottom>
      <diagonal/>
    </border>
    <border>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style="medium">
        <color theme="0" tint="-0.249977111117893"/>
      </left>
      <right/>
      <top style="thin">
        <color theme="0" tint="-4.9989318521683403E-2"/>
      </top>
      <bottom style="medium">
        <color theme="0" tint="-0.249977111117893"/>
      </bottom>
      <diagonal/>
    </border>
    <border>
      <left style="medium">
        <color theme="0" tint="-0.249977111117893"/>
      </left>
      <right/>
      <top style="medium">
        <color theme="0" tint="-0.249977111117893"/>
      </top>
      <bottom style="medium">
        <color theme="0" tint="-0.249977111117893"/>
      </bottom>
      <diagonal/>
    </border>
    <border>
      <left style="medium">
        <color theme="0" tint="-0.249977111117893"/>
      </left>
      <right/>
      <top style="medium">
        <color theme="0" tint="-0.249977111117893"/>
      </top>
      <bottom/>
      <diagonal/>
    </border>
    <border>
      <left/>
      <right/>
      <top style="medium">
        <color theme="0" tint="-0.249977111117893"/>
      </top>
      <bottom style="medium">
        <color theme="0" tint="-0.249977111117893"/>
      </bottom>
      <diagonal/>
    </border>
    <border>
      <left/>
      <right style="medium">
        <color theme="0" tint="-0.249977111117893"/>
      </right>
      <top style="medium">
        <color theme="0" tint="-0.249977111117893"/>
      </top>
      <bottom/>
      <diagonal/>
    </border>
    <border>
      <left/>
      <right/>
      <top/>
      <bottom style="medium">
        <color theme="0" tint="-0.249977111117893"/>
      </bottom>
      <diagonal/>
    </border>
    <border>
      <left style="thin">
        <color theme="0" tint="-4.9989318521683403E-2"/>
      </left>
      <right/>
      <top style="thin">
        <color theme="0" tint="-4.9989318521683403E-2"/>
      </top>
      <bottom style="medium">
        <color theme="0" tint="-0.34998626667073579"/>
      </bottom>
      <diagonal/>
    </border>
    <border>
      <left style="thin">
        <color theme="0" tint="-4.9989318521683403E-2"/>
      </left>
      <right/>
      <top style="thin">
        <color theme="0" tint="-4.9989318521683403E-2"/>
      </top>
      <bottom style="thin">
        <color theme="0" tint="-4.9989318521683403E-2"/>
      </bottom>
      <diagonal/>
    </border>
    <border>
      <left style="thin">
        <color theme="0" tint="-4.9989318521683403E-2"/>
      </left>
      <right/>
      <top style="medium">
        <color theme="0" tint="-0.34998626667073579"/>
      </top>
      <bottom style="thin">
        <color theme="0" tint="-4.9989318521683403E-2"/>
      </bottom>
      <diagonal/>
    </border>
  </borders>
  <cellStyleXfs count="5">
    <xf numFmtId="0" fontId="0" fillId="0" borderId="0"/>
    <xf numFmtId="0" fontId="2" fillId="0" borderId="0"/>
    <xf numFmtId="0" fontId="23" fillId="7" borderId="0" applyNumberFormat="0" applyBorder="0" applyAlignment="0" applyProtection="0"/>
    <xf numFmtId="0" fontId="24" fillId="8" borderId="0" applyNumberFormat="0" applyBorder="0" applyAlignment="0" applyProtection="0"/>
    <xf numFmtId="0" fontId="32" fillId="0" borderId="0" applyNumberFormat="0" applyFill="0" applyBorder="0" applyAlignment="0" applyProtection="0"/>
  </cellStyleXfs>
  <cellXfs count="864">
    <xf numFmtId="0" fontId="0" fillId="0" borderId="0" xfId="0"/>
    <xf numFmtId="0" fontId="5" fillId="0" borderId="0" xfId="0" applyFont="1"/>
    <xf numFmtId="0" fontId="4" fillId="5" borderId="19" xfId="0" applyFont="1" applyFill="1" applyBorder="1" applyAlignment="1">
      <alignment horizontal="left" vertical="top" wrapText="1"/>
    </xf>
    <xf numFmtId="0" fontId="3" fillId="0" borderId="0" xfId="0" applyFont="1" applyFill="1" applyAlignment="1">
      <alignment horizontal="left" vertical="top"/>
    </xf>
    <xf numFmtId="0" fontId="0" fillId="0" borderId="0" xfId="0" applyAlignment="1">
      <alignment horizontal="center" vertical="center"/>
    </xf>
    <xf numFmtId="0" fontId="5" fillId="0" borderId="0" xfId="0" applyFont="1" applyFill="1" applyAlignment="1">
      <alignment horizontal="center" vertical="center"/>
    </xf>
    <xf numFmtId="0" fontId="5" fillId="0" borderId="0" xfId="0" applyFont="1" applyFill="1"/>
    <xf numFmtId="0" fontId="5" fillId="0" borderId="0" xfId="0" applyFont="1" applyFill="1" applyProtection="1">
      <protection locked="0"/>
    </xf>
    <xf numFmtId="0" fontId="5" fillId="0" borderId="0" xfId="0" applyFont="1" applyFill="1" applyAlignment="1">
      <alignment vertical="center"/>
    </xf>
    <xf numFmtId="0" fontId="0" fillId="0" borderId="0" xfId="0" applyFont="1"/>
    <xf numFmtId="0" fontId="12" fillId="0" borderId="0" xfId="0" applyFont="1"/>
    <xf numFmtId="0" fontId="5" fillId="0" borderId="0" xfId="0" applyFont="1" applyAlignment="1">
      <alignment vertical="center"/>
    </xf>
    <xf numFmtId="0" fontId="0" fillId="0" borderId="0" xfId="0" applyAlignment="1">
      <alignment horizontal="left" vertical="center"/>
    </xf>
    <xf numFmtId="0" fontId="10" fillId="0" borderId="0" xfId="0" applyFont="1" applyAlignment="1"/>
    <xf numFmtId="0" fontId="5" fillId="0" borderId="0" xfId="0" applyFont="1" applyBorder="1" applyAlignment="1">
      <alignment vertical="center"/>
    </xf>
    <xf numFmtId="0" fontId="17" fillId="0" borderId="0" xfId="0" applyFont="1"/>
    <xf numFmtId="0" fontId="17" fillId="0" borderId="0" xfId="0" applyFont="1" applyAlignment="1">
      <alignment horizontal="center"/>
    </xf>
    <xf numFmtId="0" fontId="16" fillId="0" borderId="0" xfId="0" applyFont="1"/>
    <xf numFmtId="0" fontId="1" fillId="0" borderId="0" xfId="0" applyFont="1" applyFill="1" applyBorder="1" applyAlignment="1">
      <alignment wrapText="1"/>
    </xf>
    <xf numFmtId="0" fontId="1" fillId="0" borderId="0" xfId="0" applyFont="1"/>
    <xf numFmtId="0" fontId="1" fillId="0" borderId="0" xfId="0" applyFont="1" applyAlignment="1">
      <alignment vertical="center"/>
    </xf>
    <xf numFmtId="0" fontId="1" fillId="0" borderId="0" xfId="0" applyFont="1" applyAlignment="1">
      <alignment horizontal="left" vertical="center" indent="2"/>
    </xf>
    <xf numFmtId="0" fontId="14" fillId="0" borderId="0" xfId="0" applyFont="1"/>
    <xf numFmtId="0" fontId="1" fillId="0" borderId="0" xfId="0" applyFont="1" applyAlignment="1">
      <alignment vertical="center" wrapText="1"/>
    </xf>
    <xf numFmtId="0" fontId="1" fillId="0" borderId="0" xfId="0" applyFont="1" applyFill="1" applyBorder="1" applyAlignment="1">
      <alignment vertical="center" wrapText="1"/>
    </xf>
    <xf numFmtId="0" fontId="1" fillId="0" borderId="0" xfId="0" applyFont="1" applyBorder="1" applyAlignment="1">
      <alignment horizontal="left" vertical="center" wrapText="1" indent="2"/>
    </xf>
    <xf numFmtId="0" fontId="14" fillId="0" borderId="0" xfId="0" applyFont="1" applyBorder="1" applyAlignment="1">
      <alignment vertical="center" wrapText="1"/>
    </xf>
    <xf numFmtId="0" fontId="1" fillId="0" borderId="0" xfId="0" applyFont="1" applyBorder="1"/>
    <xf numFmtId="0" fontId="14" fillId="0" borderId="0" xfId="0" applyFont="1" applyBorder="1"/>
    <xf numFmtId="0" fontId="1" fillId="0" borderId="23" xfId="0" applyFont="1" applyFill="1" applyBorder="1" applyAlignment="1">
      <alignment wrapText="1"/>
    </xf>
    <xf numFmtId="0" fontId="1" fillId="0" borderId="23" xfId="0" applyFont="1" applyBorder="1"/>
    <xf numFmtId="0" fontId="14" fillId="0" borderId="23" xfId="0" applyFont="1" applyBorder="1"/>
    <xf numFmtId="0" fontId="1" fillId="0" borderId="0" xfId="0" applyFont="1" applyAlignment="1">
      <alignment horizontal="center" vertical="center"/>
    </xf>
    <xf numFmtId="0" fontId="14" fillId="0" borderId="0" xfId="0" applyFont="1" applyBorder="1" applyAlignment="1">
      <alignment horizontal="center" vertical="center" wrapText="1"/>
    </xf>
    <xf numFmtId="0" fontId="7" fillId="0" borderId="0" xfId="0" applyFont="1" applyAlignment="1">
      <alignment vertical="center"/>
    </xf>
    <xf numFmtId="0" fontId="21" fillId="0" borderId="0" xfId="0" applyFont="1" applyAlignment="1">
      <alignment horizontal="left" vertical="center" indent="2"/>
    </xf>
    <xf numFmtId="0" fontId="5" fillId="0" borderId="0" xfId="0" applyFont="1" applyAlignment="1">
      <alignment horizontal="center" vertical="center"/>
    </xf>
    <xf numFmtId="0" fontId="7" fillId="2" borderId="1" xfId="0" applyFont="1" applyFill="1" applyBorder="1" applyAlignment="1">
      <alignment horizontal="center" vertical="center" wrapText="1"/>
    </xf>
    <xf numFmtId="0" fontId="10" fillId="0" borderId="0" xfId="0" applyFont="1" applyAlignment="1">
      <alignment horizontal="center" vertical="center"/>
    </xf>
    <xf numFmtId="0" fontId="21" fillId="0" borderId="0" xfId="0" applyFont="1" applyAlignment="1">
      <alignment vertical="center"/>
    </xf>
    <xf numFmtId="0" fontId="1" fillId="0" borderId="3" xfId="0" applyFont="1" applyBorder="1" applyAlignment="1">
      <alignment horizontal="center" vertical="center" wrapText="1"/>
    </xf>
    <xf numFmtId="0" fontId="1" fillId="0" borderId="0" xfId="0" applyFont="1" applyBorder="1" applyAlignment="1">
      <alignment vertical="center"/>
    </xf>
    <xf numFmtId="0" fontId="9" fillId="5" borderId="19" xfId="0" applyFont="1" applyFill="1" applyBorder="1" applyAlignment="1">
      <alignment horizontal="left" vertical="center" wrapText="1"/>
    </xf>
    <xf numFmtId="0" fontId="25" fillId="0" borderId="0" xfId="0" applyFont="1" applyBorder="1" applyAlignment="1">
      <alignment vertical="top" wrapText="1"/>
    </xf>
    <xf numFmtId="0" fontId="26" fillId="0" borderId="0" xfId="0" applyFont="1" applyAlignment="1">
      <alignment vertical="center"/>
    </xf>
    <xf numFmtId="0" fontId="27" fillId="0" borderId="0" xfId="0" applyFont="1" applyAlignment="1">
      <alignment vertical="center"/>
    </xf>
    <xf numFmtId="0" fontId="1" fillId="0" borderId="0" xfId="0" applyFont="1" applyBorder="1" applyAlignment="1">
      <alignment horizontal="left" vertical="center" wrapText="1"/>
    </xf>
    <xf numFmtId="0" fontId="14" fillId="0" borderId="0" xfId="0" applyFont="1" applyBorder="1" applyAlignment="1">
      <alignment vertical="center"/>
    </xf>
    <xf numFmtId="0" fontId="22" fillId="0" borderId="0" xfId="0" applyFont="1" applyFill="1" applyBorder="1" applyAlignment="1">
      <alignment horizontal="center" vertical="center" wrapText="1"/>
    </xf>
    <xf numFmtId="165" fontId="14" fillId="0" borderId="0" xfId="0" applyNumberFormat="1" applyFont="1" applyBorder="1" applyAlignment="1">
      <alignment horizontal="center" vertical="center" wrapText="1"/>
    </xf>
    <xf numFmtId="0" fontId="1" fillId="0" borderId="0" xfId="0" applyFont="1" applyFill="1" applyBorder="1" applyAlignment="1">
      <alignment horizontal="center" vertical="center" wrapText="1"/>
    </xf>
    <xf numFmtId="0" fontId="5" fillId="0" borderId="0" xfId="0" applyFont="1" applyBorder="1"/>
    <xf numFmtId="0" fontId="22" fillId="0" borderId="0" xfId="0" applyFont="1" applyAlignment="1" applyProtection="1">
      <alignment horizontal="center" vertical="center"/>
      <protection hidden="1"/>
    </xf>
    <xf numFmtId="0" fontId="31" fillId="0" borderId="0" xfId="0" applyFont="1" applyAlignment="1" applyProtection="1">
      <alignment horizontal="center" vertical="center"/>
      <protection hidden="1"/>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1" fillId="3" borderId="0" xfId="0" applyFont="1" applyFill="1" applyBorder="1" applyAlignment="1">
      <alignment horizontal="left" vertical="center" wrapText="1"/>
    </xf>
    <xf numFmtId="164" fontId="11" fillId="0" borderId="0" xfId="0" applyNumberFormat="1" applyFont="1" applyBorder="1" applyAlignment="1">
      <alignment horizontal="center" vertical="center" wrapText="1"/>
    </xf>
    <xf numFmtId="0" fontId="3" fillId="0" borderId="0" xfId="0" applyFont="1" applyFill="1" applyAlignment="1">
      <alignment horizontal="left" vertical="top" wrapText="1"/>
    </xf>
    <xf numFmtId="0" fontId="10" fillId="0" borderId="0" xfId="0" applyFont="1" applyAlignment="1">
      <alignment horizontal="left" vertical="center" indent="1"/>
    </xf>
    <xf numFmtId="0" fontId="6" fillId="0" borderId="0" xfId="0" applyFont="1" applyAlignment="1">
      <alignment vertical="center"/>
    </xf>
    <xf numFmtId="0" fontId="1" fillId="0" borderId="0" xfId="0" applyFont="1" applyAlignment="1">
      <alignment horizontal="left" vertical="center" indent="5"/>
    </xf>
    <xf numFmtId="0" fontId="7" fillId="0" borderId="0" xfId="0" applyFont="1" applyBorder="1" applyAlignment="1">
      <alignment horizontal="center" vertical="center" wrapText="1"/>
    </xf>
    <xf numFmtId="14" fontId="5" fillId="0" borderId="0" xfId="0" applyNumberFormat="1" applyFont="1"/>
    <xf numFmtId="0" fontId="1" fillId="0" borderId="0" xfId="0" applyFont="1" applyAlignment="1">
      <alignment horizontal="left" vertical="center"/>
    </xf>
    <xf numFmtId="0" fontId="19" fillId="0" borderId="0" xfId="0" applyFont="1" applyBorder="1" applyAlignment="1">
      <alignment horizontal="left" vertical="center" wrapText="1" indent="28"/>
    </xf>
    <xf numFmtId="0" fontId="3" fillId="0" borderId="0" xfId="0" applyFont="1" applyFill="1" applyAlignment="1">
      <alignment vertical="center"/>
    </xf>
    <xf numFmtId="0" fontId="34" fillId="0" borderId="0" xfId="0" applyFont="1"/>
    <xf numFmtId="0" fontId="34" fillId="0" borderId="0" xfId="0" applyFont="1" applyAlignment="1">
      <alignment vertical="center"/>
    </xf>
    <xf numFmtId="0" fontId="10" fillId="0" borderId="0" xfId="0" applyFont="1" applyAlignment="1">
      <alignment vertical="center"/>
    </xf>
    <xf numFmtId="0" fontId="5" fillId="0" borderId="0" xfId="0" applyFont="1" applyAlignment="1">
      <alignment horizontal="left" wrapText="1" indent="3"/>
    </xf>
    <xf numFmtId="0" fontId="34" fillId="0" borderId="0" xfId="0" applyFont="1" applyBorder="1" applyAlignment="1">
      <alignment vertical="center"/>
    </xf>
    <xf numFmtId="0" fontId="19" fillId="0" borderId="0" xfId="0" applyFont="1" applyBorder="1" applyAlignment="1">
      <alignment horizontal="center" wrapText="1"/>
    </xf>
    <xf numFmtId="0" fontId="7" fillId="2" borderId="2" xfId="0" applyFont="1" applyFill="1" applyBorder="1" applyAlignment="1">
      <alignment horizontal="left" vertical="center" wrapText="1"/>
    </xf>
    <xf numFmtId="0" fontId="7" fillId="0" borderId="0" xfId="0" applyFont="1" applyBorder="1" applyAlignment="1">
      <alignment vertical="center" wrapText="1"/>
    </xf>
    <xf numFmtId="0" fontId="1" fillId="0" borderId="0" xfId="0" applyFont="1" applyAlignment="1"/>
    <xf numFmtId="0" fontId="7" fillId="0" borderId="0" xfId="0" applyFont="1" applyBorder="1" applyAlignment="1">
      <alignment horizontal="left" vertical="center" wrapText="1" indent="2"/>
    </xf>
    <xf numFmtId="0" fontId="14" fillId="0" borderId="21" xfId="0" applyFont="1" applyBorder="1" applyAlignment="1">
      <alignment horizontal="center" vertical="center" wrapText="1"/>
    </xf>
    <xf numFmtId="0" fontId="1" fillId="0" borderId="0" xfId="0" applyFont="1" applyAlignment="1" applyProtection="1">
      <alignment vertical="center"/>
      <protection locked="0"/>
    </xf>
    <xf numFmtId="0" fontId="5" fillId="0" borderId="0" xfId="0" applyFont="1" applyAlignment="1" applyProtection="1">
      <alignment vertical="center"/>
      <protection locked="0"/>
    </xf>
    <xf numFmtId="0" fontId="7" fillId="3" borderId="0" xfId="0" applyFont="1" applyFill="1" applyBorder="1" applyAlignment="1">
      <alignment horizontal="left" vertical="center"/>
    </xf>
    <xf numFmtId="0" fontId="1" fillId="0" borderId="0" xfId="0" applyFont="1" applyBorder="1" applyAlignment="1">
      <alignment horizontal="center" vertical="center"/>
    </xf>
    <xf numFmtId="0" fontId="21" fillId="0" borderId="0" xfId="0" applyFont="1" applyAlignment="1">
      <alignment horizontal="left" vertical="center"/>
    </xf>
    <xf numFmtId="0" fontId="5" fillId="0" borderId="0" xfId="0" applyFont="1" applyAlignment="1" applyProtection="1">
      <alignment horizontal="center" vertical="center"/>
      <protection locked="0"/>
    </xf>
    <xf numFmtId="0" fontId="5" fillId="0" borderId="0" xfId="0" applyFont="1" applyAlignment="1">
      <alignment horizontal="center"/>
    </xf>
    <xf numFmtId="0" fontId="22" fillId="0" borderId="0" xfId="0" applyFont="1" applyAlignment="1">
      <alignment vertical="center" wrapText="1"/>
    </xf>
    <xf numFmtId="0" fontId="21" fillId="3" borderId="0" xfId="0" applyFont="1" applyFill="1" applyAlignment="1">
      <alignment horizontal="left" vertical="center"/>
    </xf>
    <xf numFmtId="0" fontId="1" fillId="0" borderId="0" xfId="0" applyFont="1" applyFill="1" applyAlignment="1">
      <alignment horizontal="center" vertical="center"/>
    </xf>
    <xf numFmtId="0" fontId="34" fillId="0" borderId="0" xfId="0" applyFont="1" applyFill="1" applyAlignment="1">
      <alignment horizontal="center" vertical="center"/>
    </xf>
    <xf numFmtId="0" fontId="1" fillId="0" borderId="0" xfId="0" applyFont="1" applyFill="1"/>
    <xf numFmtId="0" fontId="1" fillId="0" borderId="0" xfId="0" applyFont="1" applyBorder="1" applyAlignment="1">
      <alignment horizontal="left" vertical="center" wrapText="1"/>
    </xf>
    <xf numFmtId="0" fontId="1" fillId="0" borderId="0" xfId="0" applyFont="1" applyBorder="1" applyAlignment="1">
      <alignment horizontal="center" vertical="center" wrapText="1"/>
    </xf>
    <xf numFmtId="0" fontId="1" fillId="0" borderId="0" xfId="0" applyFont="1" applyBorder="1" applyAlignment="1"/>
    <xf numFmtId="0" fontId="28" fillId="0" borderId="0" xfId="0" applyFont="1" applyAlignment="1" applyProtection="1">
      <alignment horizontal="center" vertical="center"/>
      <protection hidden="1"/>
    </xf>
    <xf numFmtId="0" fontId="22" fillId="0" borderId="0" xfId="0" applyFont="1" applyFill="1" applyBorder="1" applyAlignment="1">
      <alignment horizontal="left" vertical="center" wrapText="1" indent="3"/>
    </xf>
    <xf numFmtId="0" fontId="1" fillId="0" borderId="0" xfId="0" applyFont="1" applyFill="1" applyBorder="1" applyAlignment="1">
      <alignment horizontal="left" wrapText="1" indent="3"/>
    </xf>
    <xf numFmtId="0" fontId="1" fillId="0" borderId="0" xfId="0" applyFont="1" applyFill="1" applyBorder="1" applyAlignment="1">
      <alignment horizontal="left" vertical="center" wrapText="1" indent="3"/>
    </xf>
    <xf numFmtId="0" fontId="1" fillId="0" borderId="0" xfId="0" applyFont="1" applyAlignment="1">
      <alignment horizontal="left" vertical="center" indent="3"/>
    </xf>
    <xf numFmtId="0" fontId="22" fillId="0" borderId="0" xfId="0" applyFont="1" applyAlignment="1" applyProtection="1">
      <alignment horizontal="left" vertical="center" indent="3"/>
      <protection hidden="1"/>
    </xf>
    <xf numFmtId="0" fontId="5" fillId="0" borderId="0" xfId="0" applyFont="1" applyAlignment="1">
      <alignment horizontal="left" indent="3"/>
    </xf>
    <xf numFmtId="0" fontId="22" fillId="0" borderId="0" xfId="0" applyFont="1" applyAlignment="1">
      <alignment horizontal="left" vertical="center" wrapText="1" indent="3"/>
    </xf>
    <xf numFmtId="0" fontId="5" fillId="0" borderId="0" xfId="0" applyFont="1" applyAlignment="1">
      <alignment horizontal="left" vertical="center" indent="3"/>
    </xf>
    <xf numFmtId="0" fontId="22" fillId="0" borderId="0" xfId="0" applyFont="1" applyAlignment="1">
      <alignment horizontal="left" vertical="center" indent="3"/>
    </xf>
    <xf numFmtId="0" fontId="22" fillId="0" borderId="5" xfId="0" applyFont="1" applyBorder="1" applyAlignment="1">
      <alignment horizontal="left" vertical="center" wrapText="1" indent="3"/>
    </xf>
    <xf numFmtId="0" fontId="1" fillId="0" borderId="0" xfId="0" applyFont="1" applyBorder="1" applyAlignment="1">
      <alignment horizontal="center" vertical="center" wrapText="1"/>
    </xf>
    <xf numFmtId="0" fontId="20" fillId="0" borderId="41" xfId="0" applyFont="1" applyBorder="1" applyAlignment="1">
      <alignment horizontal="center" wrapText="1"/>
    </xf>
    <xf numFmtId="0" fontId="6" fillId="0" borderId="0" xfId="0" applyFont="1" applyAlignment="1">
      <alignment vertical="center" wrapText="1"/>
    </xf>
    <xf numFmtId="0" fontId="20" fillId="0" borderId="0" xfId="0" applyFont="1" applyAlignment="1">
      <alignment vertical="center" wrapText="1"/>
    </xf>
    <xf numFmtId="0" fontId="19" fillId="0" borderId="0" xfId="0" applyFont="1" applyFill="1" applyBorder="1" applyAlignment="1" applyProtection="1">
      <alignment horizontal="left" vertical="center" wrapText="1"/>
      <protection hidden="1"/>
    </xf>
    <xf numFmtId="0" fontId="15" fillId="0" borderId="0" xfId="0" applyFont="1" applyBorder="1" applyAlignment="1">
      <alignment horizontal="left" vertical="center" wrapText="1"/>
    </xf>
    <xf numFmtId="0" fontId="7" fillId="0" borderId="0" xfId="0" applyFont="1" applyFill="1" applyBorder="1" applyAlignment="1">
      <alignment horizontal="left" wrapText="1" indent="3"/>
    </xf>
    <xf numFmtId="0" fontId="19" fillId="0" borderId="0" xfId="0" applyFont="1" applyBorder="1" applyAlignment="1" applyProtection="1">
      <alignment horizontal="left" vertical="center" wrapText="1" indent="36"/>
      <protection hidden="1"/>
    </xf>
    <xf numFmtId="0" fontId="5" fillId="0" borderId="0" xfId="0" applyFont="1" applyBorder="1" applyAlignment="1">
      <alignment vertical="top" wrapText="1"/>
    </xf>
    <xf numFmtId="0" fontId="6" fillId="0" borderId="0" xfId="0" applyFont="1" applyBorder="1" applyAlignment="1">
      <alignment vertical="top" wrapText="1"/>
    </xf>
    <xf numFmtId="0" fontId="28" fillId="0" borderId="42" xfId="0" applyFont="1" applyBorder="1" applyAlignment="1">
      <alignment vertical="center" wrapText="1"/>
    </xf>
    <xf numFmtId="0" fontId="13" fillId="0" borderId="0" xfId="0" applyFont="1" applyBorder="1" applyAlignment="1">
      <alignment horizontal="centerContinuous" vertical="center" wrapText="1"/>
    </xf>
    <xf numFmtId="0" fontId="5" fillId="0" borderId="42" xfId="0" applyFont="1" applyBorder="1" applyAlignment="1">
      <alignment vertical="center"/>
    </xf>
    <xf numFmtId="0" fontId="14" fillId="0" borderId="52" xfId="0" applyFont="1" applyBorder="1"/>
    <xf numFmtId="0" fontId="5" fillId="0" borderId="44" xfId="0" applyFont="1" applyBorder="1" applyAlignment="1">
      <alignment horizontal="left" vertical="center" wrapText="1"/>
    </xf>
    <xf numFmtId="0" fontId="5" fillId="0" borderId="44" xfId="0" applyFont="1" applyBorder="1" applyAlignment="1">
      <alignment horizontal="left" vertical="center"/>
    </xf>
    <xf numFmtId="0" fontId="5" fillId="0" borderId="57" xfId="0" applyFont="1" applyBorder="1" applyAlignment="1">
      <alignment horizontal="left" vertical="center"/>
    </xf>
    <xf numFmtId="0" fontId="14" fillId="0" borderId="47" xfId="0" applyFont="1" applyBorder="1" applyAlignment="1" applyProtection="1">
      <alignment horizontal="left" vertical="center" indent="5"/>
    </xf>
    <xf numFmtId="0" fontId="5" fillId="0" borderId="17" xfId="0" applyFont="1" applyBorder="1" applyAlignment="1">
      <alignment horizontal="left" vertical="center" wrapText="1"/>
    </xf>
    <xf numFmtId="0" fontId="5" fillId="0" borderId="58" xfId="0" applyFont="1" applyBorder="1" applyAlignment="1">
      <alignment horizontal="left" vertical="center"/>
    </xf>
    <xf numFmtId="0" fontId="1" fillId="0" borderId="59" xfId="0" applyFont="1" applyBorder="1" applyAlignment="1">
      <alignment horizontal="left" vertical="center" wrapText="1"/>
    </xf>
    <xf numFmtId="0" fontId="10" fillId="0" borderId="61" xfId="0" applyFont="1" applyBorder="1" applyAlignment="1">
      <alignment vertical="center" wrapText="1"/>
    </xf>
    <xf numFmtId="0" fontId="1" fillId="0" borderId="0" xfId="0" applyFont="1" applyFill="1" applyBorder="1" applyAlignment="1">
      <alignment horizontal="left" vertical="center" wrapText="1"/>
    </xf>
    <xf numFmtId="0" fontId="28" fillId="0" borderId="45" xfId="0" applyFont="1" applyBorder="1" applyAlignment="1" applyProtection="1">
      <alignment horizontal="left" vertical="center"/>
      <protection locked="0" hidden="1"/>
    </xf>
    <xf numFmtId="0" fontId="28" fillId="0" borderId="18" xfId="0" applyFont="1" applyBorder="1" applyAlignment="1" applyProtection="1">
      <alignment horizontal="left" vertical="center"/>
      <protection locked="0" hidden="1"/>
    </xf>
    <xf numFmtId="0" fontId="19" fillId="0" borderId="0" xfId="0" applyFont="1" applyAlignment="1">
      <alignment vertical="center"/>
    </xf>
    <xf numFmtId="0" fontId="10" fillId="0" borderId="63" xfId="0" applyFont="1" applyBorder="1" applyAlignment="1">
      <alignment vertical="center" wrapText="1"/>
    </xf>
    <xf numFmtId="0" fontId="5" fillId="0" borderId="42" xfId="0" applyFont="1" applyBorder="1" applyAlignment="1">
      <alignment vertical="center" wrapText="1"/>
    </xf>
    <xf numFmtId="0" fontId="28" fillId="0" borderId="42" xfId="0" applyFont="1" applyBorder="1" applyAlignment="1">
      <alignment vertical="center"/>
    </xf>
    <xf numFmtId="0" fontId="28" fillId="0" borderId="43" xfId="0" applyFont="1" applyBorder="1" applyAlignment="1" applyProtection="1">
      <alignment horizontal="left" vertical="center"/>
      <protection locked="0"/>
    </xf>
    <xf numFmtId="0" fontId="5" fillId="0" borderId="42" xfId="0" applyFont="1" applyBorder="1" applyAlignment="1">
      <alignment horizontal="left" vertical="center" wrapText="1"/>
    </xf>
    <xf numFmtId="0" fontId="20" fillId="0" borderId="43" xfId="0" applyFont="1" applyBorder="1" applyAlignment="1">
      <alignment horizontal="center"/>
    </xf>
    <xf numFmtId="0" fontId="5" fillId="0" borderId="42" xfId="0" applyFont="1" applyBorder="1" applyAlignment="1">
      <alignment horizontal="left" vertical="center"/>
    </xf>
    <xf numFmtId="0" fontId="28" fillId="0" borderId="43" xfId="0" applyFont="1" applyBorder="1" applyAlignment="1" applyProtection="1">
      <alignment horizontal="left" vertical="center"/>
      <protection locked="0" hidden="1"/>
    </xf>
    <xf numFmtId="0" fontId="1" fillId="0" borderId="53" xfId="0" applyFont="1" applyBorder="1" applyAlignment="1">
      <alignment horizontal="left" vertical="center" wrapText="1"/>
    </xf>
    <xf numFmtId="0" fontId="14" fillId="0" borderId="52" xfId="0" applyFont="1" applyBorder="1" applyAlignment="1" applyProtection="1">
      <alignment horizontal="left" vertical="center" indent="5"/>
    </xf>
    <xf numFmtId="0" fontId="14" fillId="0" borderId="67" xfId="0" applyFont="1" applyBorder="1" applyAlignment="1">
      <alignment horizontal="left" vertical="center" indent="5"/>
    </xf>
    <xf numFmtId="0" fontId="1" fillId="0" borderId="70" xfId="0" applyFont="1" applyBorder="1" applyAlignment="1">
      <alignment horizontal="left" vertical="center" wrapText="1"/>
    </xf>
    <xf numFmtId="0" fontId="1" fillId="0" borderId="53" xfId="0" applyFont="1" applyBorder="1"/>
    <xf numFmtId="0" fontId="14" fillId="0" borderId="53" xfId="0" applyFont="1" applyBorder="1"/>
    <xf numFmtId="0" fontId="1" fillId="0" borderId="53" xfId="0" applyFont="1" applyBorder="1" applyAlignment="1">
      <alignment vertical="center"/>
    </xf>
    <xf numFmtId="0" fontId="14" fillId="0" borderId="12" xfId="0" applyFont="1" applyBorder="1"/>
    <xf numFmtId="0" fontId="25" fillId="0" borderId="62" xfId="0" applyFont="1" applyBorder="1" applyAlignment="1">
      <alignment vertical="top" wrapText="1"/>
    </xf>
    <xf numFmtId="0" fontId="14" fillId="0" borderId="67" xfId="0" applyFont="1" applyBorder="1"/>
    <xf numFmtId="0" fontId="25" fillId="0" borderId="68" xfId="0" applyFont="1" applyBorder="1" applyAlignment="1">
      <alignment vertical="top" wrapText="1"/>
    </xf>
    <xf numFmtId="0" fontId="1" fillId="0" borderId="0" xfId="0" applyFont="1" applyAlignment="1">
      <alignment horizontal="center"/>
    </xf>
    <xf numFmtId="0" fontId="14" fillId="0" borderId="71" xfId="0" applyFont="1" applyBorder="1" applyAlignment="1" applyProtection="1">
      <alignment vertical="center" wrapText="1"/>
      <protection hidden="1"/>
    </xf>
    <xf numFmtId="0" fontId="19" fillId="0" borderId="0" xfId="0" applyFont="1" applyFill="1" applyBorder="1" applyAlignment="1" applyProtection="1">
      <alignment horizontal="center" wrapText="1"/>
      <protection hidden="1"/>
    </xf>
    <xf numFmtId="0" fontId="19" fillId="0" borderId="43" xfId="0" applyFont="1" applyFill="1" applyBorder="1" applyAlignment="1" applyProtection="1">
      <alignment horizontal="center" wrapText="1"/>
      <protection hidden="1"/>
    </xf>
    <xf numFmtId="0" fontId="14" fillId="0" borderId="71" xfId="0" applyFont="1" applyBorder="1" applyAlignment="1">
      <alignment vertical="center" wrapText="1"/>
    </xf>
    <xf numFmtId="0" fontId="5" fillId="0" borderId="42" xfId="0" applyFont="1" applyFill="1" applyBorder="1" applyAlignment="1">
      <alignment vertical="center" wrapText="1"/>
    </xf>
    <xf numFmtId="0" fontId="5" fillId="0" borderId="42" xfId="0" applyFont="1" applyFill="1" applyBorder="1" applyAlignment="1">
      <alignment vertical="center"/>
    </xf>
    <xf numFmtId="0" fontId="10" fillId="0" borderId="61" xfId="0" applyFont="1" applyFill="1" applyBorder="1" applyAlignment="1">
      <alignment vertical="center" wrapText="1"/>
    </xf>
    <xf numFmtId="0" fontId="28" fillId="0" borderId="43" xfId="0" applyFont="1" applyFill="1" applyBorder="1" applyAlignment="1" applyProtection="1">
      <alignment horizontal="left" vertical="center"/>
      <protection locked="0"/>
    </xf>
    <xf numFmtId="0" fontId="10" fillId="0" borderId="63" xfId="0" applyFont="1" applyFill="1" applyBorder="1" applyAlignment="1">
      <alignment vertical="center" wrapText="1"/>
    </xf>
    <xf numFmtId="0" fontId="1" fillId="0" borderId="0" xfId="0" applyFont="1" applyBorder="1" applyAlignment="1">
      <alignment horizontal="left" vertical="center" wrapText="1"/>
    </xf>
    <xf numFmtId="0" fontId="19" fillId="0" borderId="0" xfId="0" applyFont="1" applyBorder="1" applyAlignment="1">
      <alignment wrapText="1"/>
    </xf>
    <xf numFmtId="0" fontId="22" fillId="0" borderId="0" xfId="0" applyFont="1" applyBorder="1" applyAlignment="1">
      <alignment horizontal="left" vertical="center" wrapText="1" indent="3"/>
    </xf>
    <xf numFmtId="0" fontId="1" fillId="0" borderId="0" xfId="0" applyFont="1" applyBorder="1" applyAlignment="1">
      <alignment wrapText="1"/>
    </xf>
    <xf numFmtId="0" fontId="6" fillId="4" borderId="31" xfId="0" applyFont="1" applyFill="1" applyBorder="1" applyAlignment="1">
      <alignment horizontal="center" vertical="center" wrapText="1"/>
    </xf>
    <xf numFmtId="0" fontId="6" fillId="4" borderId="28" xfId="0" applyFont="1" applyFill="1" applyBorder="1" applyAlignment="1">
      <alignment horizontal="center" vertical="center" wrapText="1"/>
    </xf>
    <xf numFmtId="0" fontId="6" fillId="4" borderId="29" xfId="0" applyFont="1" applyFill="1" applyBorder="1" applyAlignment="1">
      <alignment vertical="center" wrapText="1"/>
    </xf>
    <xf numFmtId="0" fontId="6" fillId="4" borderId="29" xfId="0" applyFont="1" applyFill="1" applyBorder="1" applyAlignment="1">
      <alignment horizontal="center" vertical="center" wrapText="1"/>
    </xf>
    <xf numFmtId="0" fontId="6" fillId="4" borderId="17" xfId="0" applyFont="1" applyFill="1" applyBorder="1" applyAlignment="1">
      <alignment vertical="center" wrapText="1"/>
    </xf>
    <xf numFmtId="0" fontId="6" fillId="4" borderId="30" xfId="0" applyFont="1" applyFill="1" applyBorder="1" applyAlignment="1">
      <alignment horizontal="center" vertical="center" wrapText="1"/>
    </xf>
    <xf numFmtId="0" fontId="6" fillId="4" borderId="39" xfId="0" applyFont="1" applyFill="1" applyBorder="1" applyAlignment="1">
      <alignment horizontal="center" vertical="center" wrapText="1"/>
    </xf>
    <xf numFmtId="0" fontId="7" fillId="0" borderId="0" xfId="0" applyFont="1" applyAlignment="1">
      <alignment horizontal="center" vertical="center"/>
    </xf>
    <xf numFmtId="0" fontId="5" fillId="0" borderId="42" xfId="0" applyFont="1" applyBorder="1" applyAlignment="1" applyProtection="1">
      <alignment horizontal="left" vertical="center" wrapText="1"/>
      <protection locked="0"/>
    </xf>
    <xf numFmtId="0" fontId="5" fillId="0" borderId="74" xfId="0" applyFont="1" applyBorder="1" applyAlignment="1" applyProtection="1">
      <alignment vertical="center" wrapText="1"/>
      <protection locked="0"/>
    </xf>
    <xf numFmtId="165" fontId="5" fillId="0" borderId="74" xfId="0" applyNumberFormat="1" applyFont="1" applyBorder="1" applyAlignment="1" applyProtection="1">
      <alignment horizontal="center" vertical="center" wrapText="1"/>
      <protection locked="0"/>
    </xf>
    <xf numFmtId="0" fontId="5" fillId="0" borderId="74"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65" xfId="0" applyFont="1" applyBorder="1" applyAlignment="1" applyProtection="1">
      <alignment horizontal="left" vertical="center" wrapText="1"/>
      <protection locked="0"/>
    </xf>
    <xf numFmtId="0" fontId="5" fillId="0" borderId="73" xfId="0" applyFont="1" applyBorder="1" applyAlignment="1" applyProtection="1">
      <alignment vertical="center" wrapText="1"/>
      <protection locked="0"/>
    </xf>
    <xf numFmtId="165" fontId="5" fillId="0" borderId="73" xfId="0" applyNumberFormat="1" applyFont="1" applyBorder="1" applyAlignment="1" applyProtection="1">
      <alignment horizontal="center" vertical="center" wrapText="1"/>
      <protection locked="0"/>
    </xf>
    <xf numFmtId="0" fontId="5" fillId="0" borderId="73" xfId="0" applyFont="1" applyBorder="1" applyAlignment="1">
      <alignment horizontal="center" vertical="center" wrapText="1"/>
    </xf>
    <xf numFmtId="0" fontId="5" fillId="0" borderId="66" xfId="0" applyFont="1" applyBorder="1" applyAlignment="1">
      <alignment horizontal="center" vertical="center" wrapText="1"/>
    </xf>
    <xf numFmtId="0" fontId="7" fillId="4" borderId="0" xfId="0" applyFont="1" applyFill="1" applyAlignment="1">
      <alignment horizontal="center" vertical="center" wrapText="1"/>
    </xf>
    <xf numFmtId="0" fontId="6" fillId="4" borderId="32" xfId="0" applyFont="1" applyFill="1" applyBorder="1" applyAlignment="1">
      <alignment horizontal="center" vertical="center" wrapText="1"/>
    </xf>
    <xf numFmtId="0" fontId="1" fillId="0" borderId="74"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73" xfId="0" applyFont="1" applyBorder="1" applyAlignment="1">
      <alignment horizontal="center" vertical="center" wrapText="1"/>
    </xf>
    <xf numFmtId="0" fontId="1" fillId="0" borderId="66" xfId="0" applyFont="1" applyBorder="1" applyAlignment="1">
      <alignment horizontal="center" vertical="center" wrapText="1"/>
    </xf>
    <xf numFmtId="0" fontId="5" fillId="0" borderId="50" xfId="0" applyFont="1" applyBorder="1" applyAlignment="1" applyProtection="1">
      <alignment horizontal="left" vertical="center" wrapText="1"/>
      <protection locked="0"/>
    </xf>
    <xf numFmtId="0" fontId="5" fillId="0" borderId="75" xfId="0" applyFont="1" applyBorder="1" applyAlignment="1" applyProtection="1">
      <alignment vertical="center" wrapText="1"/>
      <protection locked="0"/>
    </xf>
    <xf numFmtId="165" fontId="5" fillId="0" borderId="75" xfId="0" applyNumberFormat="1" applyFont="1" applyBorder="1" applyAlignment="1" applyProtection="1">
      <alignment horizontal="center" vertical="center" wrapText="1"/>
      <protection locked="0"/>
    </xf>
    <xf numFmtId="0" fontId="5" fillId="0" borderId="75" xfId="0" applyFont="1" applyBorder="1" applyAlignment="1">
      <alignment horizontal="center" vertical="center" wrapText="1"/>
    </xf>
    <xf numFmtId="0" fontId="5" fillId="0" borderId="51" xfId="0" applyFont="1" applyBorder="1" applyAlignment="1">
      <alignment horizontal="center" vertical="center" wrapText="1"/>
    </xf>
    <xf numFmtId="0" fontId="6" fillId="4" borderId="76" xfId="0" applyFont="1" applyFill="1" applyBorder="1" applyAlignment="1">
      <alignment vertical="center" wrapText="1"/>
    </xf>
    <xf numFmtId="0" fontId="5" fillId="0" borderId="51" xfId="0" applyFont="1" applyBorder="1" applyAlignment="1" applyProtection="1">
      <alignment horizontal="center" vertical="center"/>
      <protection locked="0"/>
    </xf>
    <xf numFmtId="0" fontId="1" fillId="0" borderId="51" xfId="0" applyFont="1" applyBorder="1" applyAlignment="1">
      <alignment horizontal="center" vertical="center" wrapText="1"/>
    </xf>
    <xf numFmtId="0" fontId="7" fillId="4" borderId="0" xfId="0" applyFont="1" applyFill="1" applyAlignment="1">
      <alignment horizontal="center" vertical="center" wrapText="1"/>
    </xf>
    <xf numFmtId="0" fontId="9" fillId="4" borderId="77" xfId="0" applyFont="1" applyFill="1" applyBorder="1" applyAlignment="1">
      <alignment vertical="center" wrapText="1"/>
    </xf>
    <xf numFmtId="0" fontId="1" fillId="0" borderId="72" xfId="0" applyFont="1" applyBorder="1" applyAlignment="1" applyProtection="1">
      <alignment horizontal="center" vertical="center" wrapText="1"/>
      <protection locked="0"/>
    </xf>
    <xf numFmtId="0" fontId="1" fillId="0" borderId="64" xfId="0" applyFont="1" applyBorder="1" applyAlignment="1" applyProtection="1">
      <alignment horizontal="center" vertical="center" wrapText="1"/>
      <protection locked="0"/>
    </xf>
    <xf numFmtId="0" fontId="13" fillId="0" borderId="0" xfId="0" applyFont="1" applyBorder="1" applyAlignment="1">
      <alignment vertical="center"/>
    </xf>
    <xf numFmtId="0" fontId="5" fillId="3" borderId="86" xfId="0" applyFont="1" applyFill="1" applyBorder="1" applyAlignment="1">
      <alignment vertical="center" wrapText="1"/>
    </xf>
    <xf numFmtId="0" fontId="38" fillId="0" borderId="88" xfId="0" applyFont="1" applyBorder="1" applyAlignment="1">
      <alignment horizontal="center"/>
    </xf>
    <xf numFmtId="0" fontId="5" fillId="0" borderId="50" xfId="0" applyFont="1" applyBorder="1" applyAlignment="1">
      <alignment vertical="center"/>
    </xf>
    <xf numFmtId="0" fontId="7" fillId="4" borderId="78" xfId="0" applyFont="1" applyFill="1" applyBorder="1" applyAlignment="1">
      <alignment horizontal="center" vertical="center" wrapText="1"/>
    </xf>
    <xf numFmtId="0" fontId="7" fillId="4" borderId="76" xfId="0" applyFont="1" applyFill="1" applyBorder="1" applyAlignment="1">
      <alignment vertical="center" wrapText="1"/>
    </xf>
    <xf numFmtId="0" fontId="1" fillId="4" borderId="76" xfId="0" applyFont="1" applyFill="1" applyBorder="1" applyAlignment="1">
      <alignment vertical="center" wrapText="1"/>
    </xf>
    <xf numFmtId="0" fontId="5" fillId="0" borderId="42" xfId="0" applyFont="1" applyBorder="1" applyAlignment="1" applyProtection="1">
      <alignment horizontal="justify" vertical="center" wrapText="1"/>
      <protection locked="0"/>
    </xf>
    <xf numFmtId="164" fontId="28" fillId="0" borderId="43" xfId="0" applyNumberFormat="1" applyFont="1" applyBorder="1" applyAlignment="1" applyProtection="1">
      <alignment horizontal="center" vertical="center" wrapText="1"/>
      <protection locked="0"/>
    </xf>
    <xf numFmtId="0" fontId="5" fillId="0" borderId="65" xfId="0" applyFont="1" applyBorder="1" applyAlignment="1" applyProtection="1">
      <alignment horizontal="justify" vertical="center" wrapText="1"/>
      <protection locked="0"/>
    </xf>
    <xf numFmtId="164" fontId="28" fillId="0" borderId="66" xfId="0" applyNumberFormat="1" applyFont="1" applyBorder="1" applyAlignment="1" applyProtection="1">
      <alignment horizontal="center" vertical="center" wrapText="1"/>
      <protection locked="0"/>
    </xf>
    <xf numFmtId="0" fontId="28" fillId="0" borderId="53" xfId="0" applyFont="1" applyBorder="1" applyAlignment="1">
      <alignment vertical="center"/>
    </xf>
    <xf numFmtId="0" fontId="5" fillId="0" borderId="52" xfId="0" applyFont="1" applyBorder="1" applyAlignment="1">
      <alignment vertical="center"/>
    </xf>
    <xf numFmtId="0" fontId="5" fillId="0" borderId="0" xfId="0" applyFont="1" applyBorder="1" applyAlignment="1">
      <alignment horizontal="left" vertical="center" wrapText="1"/>
    </xf>
    <xf numFmtId="0" fontId="19" fillId="0" borderId="0" xfId="0" applyFont="1" applyFill="1" applyBorder="1" applyAlignment="1">
      <alignment horizontal="center" wrapText="1"/>
    </xf>
    <xf numFmtId="0" fontId="28" fillId="0" borderId="0" xfId="0" applyFont="1" applyBorder="1" applyAlignment="1">
      <alignment vertical="center" wrapText="1"/>
    </xf>
    <xf numFmtId="0" fontId="28" fillId="0" borderId="72" xfId="0" applyFont="1" applyBorder="1" applyAlignment="1">
      <alignment horizontal="center" vertical="center" wrapText="1"/>
    </xf>
    <xf numFmtId="0" fontId="5" fillId="0" borderId="74" xfId="0" applyFont="1" applyBorder="1" applyAlignment="1">
      <alignment horizontal="center" vertical="center" wrapText="1"/>
    </xf>
    <xf numFmtId="0" fontId="34" fillId="0" borderId="0" xfId="0" applyFont="1" applyBorder="1" applyAlignment="1">
      <alignment horizontal="left" vertical="center"/>
    </xf>
    <xf numFmtId="0" fontId="41" fillId="0" borderId="0" xfId="0" applyFont="1" applyBorder="1" applyAlignment="1">
      <alignment horizontal="centerContinuous" vertical="center"/>
    </xf>
    <xf numFmtId="0" fontId="18" fillId="0" borderId="0" xfId="0" applyFont="1" applyBorder="1" applyAlignment="1">
      <alignment horizontal="centerContinuous" vertical="center" wrapText="1"/>
    </xf>
    <xf numFmtId="0" fontId="14" fillId="0" borderId="0" xfId="0" applyFont="1" applyBorder="1" applyAlignment="1">
      <alignment horizontal="centerContinuous" vertical="center" wrapText="1"/>
    </xf>
    <xf numFmtId="0" fontId="1" fillId="0" borderId="0" xfId="0" applyFont="1" applyFill="1" applyBorder="1" applyAlignment="1">
      <alignment horizontal="centerContinuous" wrapText="1"/>
    </xf>
    <xf numFmtId="0" fontId="1" fillId="0" borderId="0" xfId="0" applyFont="1" applyBorder="1" applyAlignment="1">
      <alignment horizontal="centerContinuous"/>
    </xf>
    <xf numFmtId="0" fontId="34" fillId="0" borderId="0" xfId="0" applyFont="1" applyBorder="1" applyAlignment="1">
      <alignment horizontal="centerContinuous" vertical="center" wrapText="1"/>
    </xf>
    <xf numFmtId="0" fontId="19" fillId="0" borderId="74" xfId="0" applyFont="1" applyBorder="1" applyAlignment="1">
      <alignment horizontal="center" wrapText="1"/>
    </xf>
    <xf numFmtId="0" fontId="13" fillId="0" borderId="0" xfId="0" applyFont="1" applyAlignment="1">
      <alignment horizontal="centerContinuous"/>
    </xf>
    <xf numFmtId="0" fontId="13" fillId="0" borderId="0" xfId="0" applyFont="1" applyBorder="1" applyAlignment="1">
      <alignment horizontal="centerContinuous"/>
    </xf>
    <xf numFmtId="0" fontId="13" fillId="0" borderId="0" xfId="0" applyFont="1" applyAlignment="1">
      <alignment horizontal="centerContinuous" vertical="center"/>
    </xf>
    <xf numFmtId="0" fontId="28" fillId="0" borderId="64" xfId="0" applyFont="1" applyBorder="1" applyAlignment="1">
      <alignment vertical="center" wrapText="1"/>
    </xf>
    <xf numFmtId="0" fontId="5" fillId="3" borderId="42" xfId="0" applyFont="1" applyFill="1" applyBorder="1" applyAlignment="1">
      <alignment horizontal="left" vertical="center"/>
    </xf>
    <xf numFmtId="0" fontId="10" fillId="0" borderId="74" xfId="0" applyFont="1" applyBorder="1" applyAlignment="1">
      <alignment horizontal="center" wrapText="1"/>
    </xf>
    <xf numFmtId="0" fontId="5" fillId="0" borderId="43" xfId="0" applyFont="1" applyBorder="1" applyAlignment="1" applyProtection="1">
      <alignment vertical="center" wrapText="1"/>
      <protection locked="0"/>
    </xf>
    <xf numFmtId="0" fontId="5" fillId="3" borderId="65" xfId="0" applyFont="1" applyFill="1" applyBorder="1" applyAlignment="1">
      <alignment horizontal="left" vertical="center"/>
    </xf>
    <xf numFmtId="0" fontId="5" fillId="0" borderId="66" xfId="0" applyFont="1" applyBorder="1" applyAlignment="1" applyProtection="1">
      <alignment vertical="center" wrapText="1"/>
      <protection locked="0"/>
    </xf>
    <xf numFmtId="0" fontId="5" fillId="0" borderId="51" xfId="0" applyFont="1" applyBorder="1" applyAlignment="1" applyProtection="1">
      <alignment horizontal="center" vertical="center" wrapText="1"/>
      <protection locked="0"/>
    </xf>
    <xf numFmtId="0" fontId="5" fillId="0" borderId="43" xfId="0" applyFont="1" applyBorder="1" applyAlignment="1" applyProtection="1">
      <alignment horizontal="center" vertical="center" wrapText="1"/>
      <protection locked="0"/>
    </xf>
    <xf numFmtId="0" fontId="5" fillId="0" borderId="66" xfId="0" applyFont="1" applyBorder="1" applyAlignment="1" applyProtection="1">
      <alignment horizontal="center" vertical="center" wrapText="1"/>
      <protection locked="0"/>
    </xf>
    <xf numFmtId="0" fontId="5" fillId="0" borderId="0" xfId="0" applyFont="1" applyAlignment="1">
      <alignment horizontal="centerContinuous"/>
    </xf>
    <xf numFmtId="0" fontId="19" fillId="0" borderId="73" xfId="0" applyFont="1" applyBorder="1" applyAlignment="1">
      <alignment horizontal="center" wrapText="1"/>
    </xf>
    <xf numFmtId="0" fontId="5" fillId="3" borderId="95" xfId="0" applyFont="1" applyFill="1" applyBorder="1" applyAlignment="1">
      <alignment horizontal="left" vertical="center" wrapText="1"/>
    </xf>
    <xf numFmtId="0" fontId="5" fillId="0" borderId="96" xfId="0" applyFont="1" applyBorder="1" applyAlignment="1" applyProtection="1">
      <alignment horizontal="center" vertical="center" wrapText="1"/>
      <protection locked="0"/>
    </xf>
    <xf numFmtId="0" fontId="5" fillId="3" borderId="95" xfId="0" applyFont="1" applyFill="1" applyBorder="1" applyAlignment="1">
      <alignment horizontal="justify" vertical="center" wrapText="1"/>
    </xf>
    <xf numFmtId="0" fontId="5" fillId="0" borderId="99" xfId="0" applyFont="1" applyBorder="1" applyAlignment="1" applyProtection="1">
      <alignment horizontal="center" vertical="center" wrapText="1"/>
      <protection locked="0"/>
    </xf>
    <xf numFmtId="0" fontId="5" fillId="3" borderId="101" xfId="0" applyFont="1" applyFill="1" applyBorder="1" applyAlignment="1">
      <alignment horizontal="left" vertical="center" wrapText="1"/>
    </xf>
    <xf numFmtId="0" fontId="5" fillId="0" borderId="102" xfId="0" applyFont="1" applyBorder="1" applyAlignment="1" applyProtection="1">
      <alignment horizontal="center" vertical="center" wrapText="1"/>
      <protection locked="0"/>
    </xf>
    <xf numFmtId="0" fontId="19" fillId="0" borderId="75" xfId="0" applyFont="1" applyBorder="1" applyAlignment="1">
      <alignment horizontal="center" wrapText="1"/>
    </xf>
    <xf numFmtId="0" fontId="28" fillId="0" borderId="50" xfId="0" applyFont="1" applyBorder="1" applyAlignment="1">
      <alignment vertical="center" wrapText="1"/>
    </xf>
    <xf numFmtId="0" fontId="10" fillId="0" borderId="75" xfId="0" applyFont="1" applyBorder="1" applyAlignment="1">
      <alignment horizontal="center" wrapText="1"/>
    </xf>
    <xf numFmtId="0" fontId="10" fillId="0" borderId="73" xfId="0" applyFont="1" applyBorder="1" applyAlignment="1">
      <alignment horizontal="center" wrapText="1"/>
    </xf>
    <xf numFmtId="0" fontId="14" fillId="0" borderId="73" xfId="0" applyFont="1" applyBorder="1" applyAlignment="1" applyProtection="1">
      <alignment horizontal="center" vertical="center" wrapText="1"/>
      <protection locked="0"/>
    </xf>
    <xf numFmtId="0" fontId="14" fillId="0" borderId="66" xfId="0" applyFont="1" applyBorder="1" applyAlignment="1" applyProtection="1">
      <alignment horizontal="center" vertical="center" wrapText="1"/>
      <protection locked="0"/>
    </xf>
    <xf numFmtId="0" fontId="19" fillId="0" borderId="51" xfId="0" applyFont="1" applyBorder="1" applyAlignment="1">
      <alignment horizontal="center" wrapText="1"/>
    </xf>
    <xf numFmtId="0" fontId="15" fillId="4" borderId="62" xfId="0" applyFont="1" applyFill="1" applyBorder="1" applyAlignment="1">
      <alignment horizontal="justify" vertical="center" wrapText="1"/>
    </xf>
    <xf numFmtId="0" fontId="5" fillId="0" borderId="65" xfId="0" applyFont="1" applyBorder="1" applyAlignment="1">
      <alignment vertical="center" wrapText="1"/>
    </xf>
    <xf numFmtId="0" fontId="5" fillId="0" borderId="82" xfId="0" applyFont="1" applyBorder="1" applyAlignment="1">
      <alignment vertical="center" wrapText="1"/>
    </xf>
    <xf numFmtId="0" fontId="5" fillId="0" borderId="50" xfId="0" applyFont="1" applyBorder="1" applyAlignment="1">
      <alignment vertical="center" wrapText="1"/>
    </xf>
    <xf numFmtId="0" fontId="5" fillId="0" borderId="50" xfId="0" applyFont="1" applyBorder="1" applyAlignment="1">
      <alignment horizontal="left" vertical="center" wrapText="1"/>
    </xf>
    <xf numFmtId="0" fontId="10" fillId="0" borderId="0" xfId="0" applyFont="1" applyBorder="1" applyAlignment="1">
      <alignment horizontal="centerContinuous"/>
    </xf>
    <xf numFmtId="0" fontId="19" fillId="0" borderId="43" xfId="0" applyFont="1" applyBorder="1" applyAlignment="1">
      <alignment horizontal="center" wrapText="1"/>
    </xf>
    <xf numFmtId="0" fontId="19" fillId="0" borderId="66" xfId="0" applyFont="1" applyBorder="1" applyAlignment="1">
      <alignment horizontal="center" wrapText="1"/>
    </xf>
    <xf numFmtId="0" fontId="42" fillId="0" borderId="51" xfId="0" applyFont="1" applyBorder="1" applyAlignment="1">
      <alignment horizontal="center" wrapText="1"/>
    </xf>
    <xf numFmtId="0" fontId="42" fillId="0" borderId="43" xfId="0" applyFont="1" applyBorder="1" applyAlignment="1">
      <alignment horizontal="center" wrapText="1"/>
    </xf>
    <xf numFmtId="0" fontId="42" fillId="0" borderId="84" xfId="0" applyFont="1" applyBorder="1" applyAlignment="1">
      <alignment horizontal="center" wrapText="1"/>
    </xf>
    <xf numFmtId="0" fontId="5" fillId="0" borderId="74" xfId="0" applyFont="1" applyBorder="1" applyAlignment="1">
      <alignment horizontal="left" vertical="center" wrapText="1" indent="10"/>
    </xf>
    <xf numFmtId="0" fontId="5" fillId="0" borderId="114" xfId="0" applyFont="1" applyBorder="1" applyAlignment="1" applyProtection="1">
      <alignment horizontal="center" vertical="center" wrapText="1"/>
      <protection locked="0"/>
    </xf>
    <xf numFmtId="0" fontId="6" fillId="0" borderId="116" xfId="0" applyFont="1" applyBorder="1" applyAlignment="1">
      <alignment horizontal="left" vertical="center" wrapText="1" indent="10"/>
    </xf>
    <xf numFmtId="0" fontId="6" fillId="0" borderId="117" xfId="0" applyFont="1" applyBorder="1" applyAlignment="1" applyProtection="1">
      <alignment horizontal="center" vertical="center" wrapText="1"/>
      <protection hidden="1"/>
    </xf>
    <xf numFmtId="0" fontId="5" fillId="0" borderId="75" xfId="0" applyFont="1" applyBorder="1" applyAlignment="1">
      <alignment horizontal="left" vertical="center" wrapText="1" indent="10"/>
    </xf>
    <xf numFmtId="0" fontId="5" fillId="0" borderId="119" xfId="0" applyFont="1" applyBorder="1" applyAlignment="1" applyProtection="1">
      <alignment horizontal="center" vertical="center" wrapText="1"/>
      <protection locked="0"/>
    </xf>
    <xf numFmtId="3" fontId="5" fillId="0" borderId="74" xfId="0" applyNumberFormat="1" applyFont="1" applyBorder="1" applyAlignment="1" applyProtection="1">
      <alignment horizontal="center" vertical="center" wrapText="1"/>
      <protection locked="0"/>
    </xf>
    <xf numFmtId="3" fontId="5" fillId="0" borderId="43" xfId="0" applyNumberFormat="1" applyFont="1" applyBorder="1" applyAlignment="1" applyProtection="1">
      <alignment horizontal="center" vertical="center" wrapText="1"/>
      <protection locked="0"/>
    </xf>
    <xf numFmtId="0" fontId="6" fillId="0" borderId="73" xfId="0" applyFont="1" applyBorder="1" applyAlignment="1">
      <alignment horizontal="left" vertical="center" wrapText="1" indent="10"/>
    </xf>
    <xf numFmtId="3" fontId="6" fillId="0" borderId="73" xfId="0" applyNumberFormat="1" applyFont="1" applyBorder="1" applyAlignment="1" applyProtection="1">
      <alignment horizontal="center" vertical="center" wrapText="1"/>
      <protection hidden="1"/>
    </xf>
    <xf numFmtId="3" fontId="5" fillId="0" borderId="75" xfId="0" applyNumberFormat="1" applyFont="1" applyBorder="1" applyAlignment="1" applyProtection="1">
      <alignment horizontal="center" vertical="center" wrapText="1"/>
      <protection locked="0"/>
    </xf>
    <xf numFmtId="3" fontId="5" fillId="0" borderId="51" xfId="0" applyNumberFormat="1" applyFont="1" applyBorder="1" applyAlignment="1" applyProtection="1">
      <alignment horizontal="center" vertical="center" wrapText="1"/>
      <protection locked="0"/>
    </xf>
    <xf numFmtId="0" fontId="6" fillId="0" borderId="65" xfId="0" applyFont="1" applyBorder="1" applyAlignment="1">
      <alignment horizontal="left" vertical="center"/>
    </xf>
    <xf numFmtId="0" fontId="5" fillId="0" borderId="73" xfId="0" applyFont="1" applyBorder="1" applyAlignment="1">
      <alignment horizontal="center" vertical="center"/>
    </xf>
    <xf numFmtId="3" fontId="29" fillId="0" borderId="66" xfId="0" applyNumberFormat="1" applyFont="1" applyBorder="1" applyAlignment="1">
      <alignment horizontal="center" vertical="center"/>
    </xf>
    <xf numFmtId="0" fontId="5" fillId="4" borderId="76" xfId="0" applyFont="1" applyFill="1" applyBorder="1" applyAlignment="1">
      <alignment vertical="center" wrapText="1"/>
    </xf>
    <xf numFmtId="0" fontId="10" fillId="0" borderId="43" xfId="0" applyFont="1" applyBorder="1" applyAlignment="1">
      <alignment horizontal="center" wrapText="1"/>
    </xf>
    <xf numFmtId="0" fontId="10" fillId="0" borderId="51" xfId="0" applyFont="1" applyBorder="1" applyAlignment="1">
      <alignment horizontal="center" wrapText="1"/>
    </xf>
    <xf numFmtId="0" fontId="6" fillId="4" borderId="62" xfId="0" applyFont="1" applyFill="1" applyBorder="1" applyAlignment="1">
      <alignment vertical="center" wrapText="1"/>
    </xf>
    <xf numFmtId="0" fontId="5" fillId="0" borderId="0" xfId="0" applyFont="1" applyAlignment="1">
      <alignment horizontal="left" vertical="center"/>
    </xf>
    <xf numFmtId="0" fontId="5" fillId="0" borderId="74" xfId="0" applyFont="1" applyBorder="1" applyAlignment="1">
      <alignment horizontal="center" vertical="center" wrapText="1"/>
    </xf>
    <xf numFmtId="0" fontId="5" fillId="0" borderId="42" xfId="0" applyFont="1" applyBorder="1" applyAlignment="1">
      <alignment horizontal="left" vertical="center" wrapText="1"/>
    </xf>
    <xf numFmtId="0" fontId="34" fillId="0" borderId="0" xfId="0" applyFont="1" applyBorder="1" applyAlignment="1">
      <alignment horizontal="center" vertical="center"/>
    </xf>
    <xf numFmtId="0" fontId="5" fillId="6" borderId="0" xfId="0" applyFont="1" applyFill="1" applyAlignment="1">
      <alignment horizontal="center" vertical="center"/>
    </xf>
    <xf numFmtId="0" fontId="7" fillId="4" borderId="62" xfId="0" applyFont="1" applyFill="1" applyBorder="1" applyAlignment="1">
      <alignment vertical="center" wrapText="1"/>
    </xf>
    <xf numFmtId="0" fontId="5" fillId="0" borderId="74" xfId="0" applyFont="1" applyBorder="1" applyAlignment="1" applyProtection="1">
      <alignment horizontal="center" vertical="center" wrapText="1"/>
      <protection locked="0"/>
    </xf>
    <xf numFmtId="165" fontId="5" fillId="0" borderId="43" xfId="0" applyNumberFormat="1" applyFont="1" applyBorder="1" applyAlignment="1" applyProtection="1">
      <alignment horizontal="center" vertical="center" wrapText="1"/>
      <protection locked="0"/>
    </xf>
    <xf numFmtId="0" fontId="5" fillId="0" borderId="73" xfId="0" applyFont="1" applyBorder="1" applyAlignment="1" applyProtection="1">
      <alignment horizontal="center" vertical="center" wrapText="1"/>
      <protection locked="0"/>
    </xf>
    <xf numFmtId="165" fontId="5" fillId="0" borderId="66" xfId="0" applyNumberFormat="1" applyFont="1" applyBorder="1" applyAlignment="1" applyProtection="1">
      <alignment horizontal="center" vertical="center" wrapText="1"/>
      <protection locked="0"/>
    </xf>
    <xf numFmtId="0" fontId="5" fillId="0" borderId="75" xfId="0" applyFont="1" applyBorder="1" applyAlignment="1" applyProtection="1">
      <alignment horizontal="center" vertical="center" wrapText="1"/>
      <protection locked="0"/>
    </xf>
    <xf numFmtId="165" fontId="5" fillId="0" borderId="51" xfId="0" applyNumberFormat="1" applyFont="1" applyBorder="1" applyAlignment="1" applyProtection="1">
      <alignment horizontal="center" vertical="center" wrapText="1"/>
      <protection locked="0"/>
    </xf>
    <xf numFmtId="0" fontId="6" fillId="4" borderId="76" xfId="0" applyFont="1" applyFill="1" applyBorder="1" applyAlignment="1">
      <alignment horizontal="center" vertical="center" wrapText="1"/>
    </xf>
    <xf numFmtId="0" fontId="20" fillId="0" borderId="121" xfId="0" applyFont="1" applyBorder="1" applyAlignment="1">
      <alignment horizontal="center" wrapText="1"/>
    </xf>
    <xf numFmtId="0" fontId="20" fillId="0" borderId="35" xfId="0" applyFont="1" applyBorder="1" applyAlignment="1">
      <alignment horizontal="center" wrapText="1"/>
    </xf>
    <xf numFmtId="0" fontId="7" fillId="4" borderId="0" xfId="0" applyFont="1" applyFill="1" applyBorder="1" applyAlignment="1">
      <alignment horizontal="left" vertical="center" wrapText="1"/>
    </xf>
    <xf numFmtId="0" fontId="7" fillId="4" borderId="111" xfId="0" applyFont="1" applyFill="1" applyBorder="1" applyAlignment="1">
      <alignment horizontal="left" vertical="center" wrapText="1"/>
    </xf>
    <xf numFmtId="0" fontId="38" fillId="0" borderId="43" xfId="0" applyFont="1" applyBorder="1" applyAlignment="1">
      <alignment horizontal="center" wrapText="1"/>
    </xf>
    <xf numFmtId="0" fontId="38" fillId="0" borderId="51" xfId="0" applyFont="1" applyBorder="1" applyAlignment="1">
      <alignment horizontal="center" wrapText="1"/>
    </xf>
    <xf numFmtId="0" fontId="16" fillId="0" borderId="0" xfId="0" applyFont="1" applyAlignment="1">
      <alignment horizontal="centerContinuous"/>
    </xf>
    <xf numFmtId="0" fontId="30" fillId="3" borderId="42" xfId="0" applyFont="1" applyFill="1" applyBorder="1" applyAlignment="1">
      <alignment horizontal="left" vertical="center" wrapText="1"/>
    </xf>
    <xf numFmtId="0" fontId="30" fillId="0" borderId="42" xfId="0" applyFont="1" applyBorder="1" applyAlignment="1">
      <alignment horizontal="left" vertical="center" wrapText="1"/>
    </xf>
    <xf numFmtId="0" fontId="1" fillId="0" borderId="73" xfId="0" applyFont="1" applyBorder="1" applyAlignment="1" applyProtection="1">
      <alignment horizontal="center" vertical="center" wrapText="1"/>
      <protection locked="0"/>
    </xf>
    <xf numFmtId="0" fontId="5" fillId="3" borderId="50" xfId="0" applyFont="1" applyFill="1" applyBorder="1" applyAlignment="1">
      <alignment horizontal="left" vertical="center" wrapText="1"/>
    </xf>
    <xf numFmtId="0" fontId="1" fillId="10" borderId="51" xfId="0" applyFont="1" applyFill="1" applyBorder="1" applyAlignment="1">
      <alignment vertical="center" wrapText="1"/>
    </xf>
    <xf numFmtId="0" fontId="1" fillId="10" borderId="43" xfId="0" applyFont="1" applyFill="1" applyBorder="1" applyAlignment="1">
      <alignment vertical="center" wrapText="1"/>
    </xf>
    <xf numFmtId="0" fontId="1" fillId="10" borderId="66" xfId="0" applyFont="1" applyFill="1" applyBorder="1" applyAlignment="1">
      <alignment vertical="center" wrapText="1"/>
    </xf>
    <xf numFmtId="0" fontId="16" fillId="0" borderId="0" xfId="0" applyFont="1" applyBorder="1" applyAlignment="1">
      <alignment horizontal="centerContinuous"/>
    </xf>
    <xf numFmtId="0" fontId="14" fillId="0" borderId="0" xfId="0" applyFont="1" applyBorder="1" applyAlignment="1">
      <alignment horizontal="centerContinuous"/>
    </xf>
    <xf numFmtId="0" fontId="19" fillId="0" borderId="0" xfId="0" applyFont="1" applyFill="1" applyBorder="1" applyAlignment="1" applyProtection="1">
      <alignment horizontal="centerContinuous" wrapText="1"/>
      <protection hidden="1"/>
    </xf>
    <xf numFmtId="0" fontId="19" fillId="0" borderId="43" xfId="0" applyFont="1" applyBorder="1" applyAlignment="1" applyProtection="1">
      <alignment horizontal="center" wrapText="1"/>
      <protection hidden="1"/>
    </xf>
    <xf numFmtId="0" fontId="5" fillId="0" borderId="70" xfId="0" applyFont="1" applyBorder="1"/>
    <xf numFmtId="0" fontId="19" fillId="0" borderId="0" xfId="0" applyFont="1" applyFill="1" applyBorder="1" applyAlignment="1" applyProtection="1">
      <alignment horizontal="centerContinuous" vertical="center" wrapText="1"/>
      <protection hidden="1"/>
    </xf>
    <xf numFmtId="0" fontId="5" fillId="0" borderId="122" xfId="0" applyFont="1" applyBorder="1" applyAlignment="1">
      <alignment horizontal="left" vertical="center" wrapText="1"/>
    </xf>
    <xf numFmtId="0" fontId="1" fillId="0" borderId="46" xfId="0" applyFont="1" applyBorder="1" applyAlignment="1">
      <alignment horizontal="left" vertical="center" indent="3"/>
    </xf>
    <xf numFmtId="0" fontId="28" fillId="0" borderId="123" xfId="0" applyFont="1" applyBorder="1" applyAlignment="1" applyProtection="1">
      <alignment horizontal="left" vertical="center"/>
      <protection locked="0" hidden="1"/>
    </xf>
    <xf numFmtId="0" fontId="19" fillId="0" borderId="0" xfId="0" applyFont="1"/>
    <xf numFmtId="0" fontId="19" fillId="0" borderId="0" xfId="0" applyFont="1" applyFill="1" applyAlignment="1">
      <alignment horizontal="center" vertical="center"/>
    </xf>
    <xf numFmtId="0" fontId="5" fillId="0" borderId="0" xfId="0" applyFont="1" applyAlignment="1">
      <alignment horizontal="centerContinuous" vertical="center"/>
    </xf>
    <xf numFmtId="0" fontId="19" fillId="0" borderId="92" xfId="0" applyFont="1" applyBorder="1" applyAlignment="1">
      <alignment horizontal="center" wrapText="1"/>
    </xf>
    <xf numFmtId="0" fontId="5" fillId="10" borderId="43" xfId="0" applyFont="1" applyFill="1" applyBorder="1" applyAlignment="1">
      <alignment vertical="center" wrapText="1"/>
    </xf>
    <xf numFmtId="0" fontId="30" fillId="3" borderId="42" xfId="0" applyFont="1" applyFill="1" applyBorder="1" applyAlignment="1">
      <alignment horizontal="justify" vertical="center" wrapText="1"/>
    </xf>
    <xf numFmtId="0" fontId="10" fillId="0" borderId="74" xfId="0" applyFont="1" applyFill="1" applyBorder="1" applyAlignment="1">
      <alignment horizontal="center" wrapText="1"/>
    </xf>
    <xf numFmtId="0" fontId="5" fillId="3" borderId="42" xfId="0" applyFont="1" applyFill="1" applyBorder="1" applyAlignment="1">
      <alignment horizontal="justify" vertical="center" wrapText="1"/>
    </xf>
    <xf numFmtId="0" fontId="5" fillId="3" borderId="65" xfId="0" applyFont="1" applyFill="1" applyBorder="1" applyAlignment="1">
      <alignment vertical="center" wrapText="1"/>
    </xf>
    <xf numFmtId="0" fontId="5" fillId="10" borderId="66" xfId="0" applyFont="1" applyFill="1" applyBorder="1" applyAlignment="1">
      <alignment horizontal="center" vertical="center" wrapText="1"/>
    </xf>
    <xf numFmtId="0" fontId="5" fillId="3" borderId="50" xfId="0" applyFont="1" applyFill="1" applyBorder="1" applyAlignment="1">
      <alignment vertical="center" wrapText="1"/>
    </xf>
    <xf numFmtId="0" fontId="5" fillId="10" borderId="51" xfId="0" applyFont="1" applyFill="1" applyBorder="1" applyAlignment="1">
      <alignment vertical="center" wrapText="1"/>
    </xf>
    <xf numFmtId="0" fontId="13" fillId="0" borderId="0" xfId="0" applyFont="1" applyBorder="1" applyAlignment="1">
      <alignment horizontal="centerContinuous" vertical="top" wrapText="1"/>
    </xf>
    <xf numFmtId="0" fontId="14" fillId="0" borderId="69" xfId="0" applyFont="1" applyBorder="1" applyAlignment="1" applyProtection="1">
      <alignment horizontal="left" vertical="center" indent="5"/>
    </xf>
    <xf numFmtId="0" fontId="5" fillId="0" borderId="0" xfId="0" applyFont="1" applyBorder="1" applyAlignment="1">
      <alignment horizontal="centerContinuous" vertical="center" wrapText="1"/>
    </xf>
    <xf numFmtId="0" fontId="13" fillId="0" borderId="0" xfId="0" applyFont="1" applyBorder="1" applyAlignment="1">
      <alignment horizontal="centerContinuous" vertical="center"/>
    </xf>
    <xf numFmtId="0" fontId="19" fillId="0" borderId="0" xfId="0" applyFont="1" applyFill="1" applyBorder="1" applyAlignment="1">
      <alignment horizontal="centerContinuous" wrapText="1"/>
    </xf>
    <xf numFmtId="0" fontId="20" fillId="0" borderId="0" xfId="0" applyFont="1" applyBorder="1" applyAlignment="1">
      <alignment horizontal="centerContinuous" vertical="center" wrapText="1"/>
    </xf>
    <xf numFmtId="0" fontId="5" fillId="0" borderId="50" xfId="0" applyFont="1" applyBorder="1" applyAlignment="1" applyProtection="1">
      <alignment horizontal="justify" vertical="center" wrapText="1"/>
      <protection locked="0"/>
    </xf>
    <xf numFmtId="164" fontId="28" fillId="0" borderId="51" xfId="0" applyNumberFormat="1" applyFont="1" applyBorder="1" applyAlignment="1" applyProtection="1">
      <alignment horizontal="center" vertical="center" wrapText="1"/>
      <protection locked="0"/>
    </xf>
    <xf numFmtId="3" fontId="6" fillId="0" borderId="66" xfId="0" applyNumberFormat="1" applyFont="1" applyBorder="1" applyAlignment="1" applyProtection="1">
      <alignment horizontal="center" vertical="center" wrapText="1"/>
      <protection hidden="1"/>
    </xf>
    <xf numFmtId="0" fontId="28" fillId="0" borderId="43" xfId="0" applyFont="1" applyBorder="1" applyAlignment="1" applyProtection="1">
      <alignment horizontal="left" vertical="center" wrapText="1"/>
      <protection locked="0"/>
    </xf>
    <xf numFmtId="14" fontId="28" fillId="0" borderId="66" xfId="0" applyNumberFormat="1" applyFont="1" applyFill="1" applyBorder="1" applyAlignment="1" applyProtection="1">
      <alignment horizontal="left" vertical="center" wrapText="1"/>
      <protection locked="0" hidden="1"/>
    </xf>
    <xf numFmtId="0" fontId="5" fillId="0" borderId="42" xfId="0" applyFont="1" applyBorder="1" applyAlignment="1">
      <alignment horizontal="left" vertical="center" wrapText="1"/>
    </xf>
    <xf numFmtId="0" fontId="1" fillId="0" borderId="0" xfId="0" applyFont="1" applyProtection="1"/>
    <xf numFmtId="168" fontId="28" fillId="0" borderId="43" xfId="0" applyNumberFormat="1" applyFont="1" applyBorder="1" applyAlignment="1" applyProtection="1">
      <alignment horizontal="left" vertical="center"/>
      <protection locked="0"/>
    </xf>
    <xf numFmtId="168" fontId="28" fillId="0" borderId="43" xfId="0" applyNumberFormat="1" applyFont="1" applyFill="1" applyBorder="1" applyAlignment="1" applyProtection="1">
      <alignment horizontal="left" vertical="center"/>
      <protection locked="0"/>
    </xf>
    <xf numFmtId="0" fontId="19" fillId="0" borderId="0" xfId="0" applyFont="1" applyBorder="1" applyAlignment="1">
      <alignment vertical="center" wrapText="1"/>
    </xf>
    <xf numFmtId="0" fontId="20" fillId="0" borderId="74" xfId="0" applyFont="1" applyBorder="1" applyAlignment="1">
      <alignment wrapText="1"/>
    </xf>
    <xf numFmtId="0" fontId="28" fillId="0" borderId="65" xfId="0" applyFont="1" applyBorder="1" applyAlignment="1">
      <alignment vertical="center" wrapText="1"/>
    </xf>
    <xf numFmtId="0" fontId="28" fillId="0" borderId="42" xfId="0" applyFont="1" applyFill="1" applyBorder="1" applyAlignment="1">
      <alignment horizontal="left" vertical="center" wrapText="1"/>
    </xf>
    <xf numFmtId="0" fontId="28" fillId="0" borderId="43" xfId="0" applyFont="1" applyBorder="1" applyAlignment="1" applyProtection="1">
      <alignment vertical="center"/>
      <protection locked="0"/>
    </xf>
    <xf numFmtId="0" fontId="5" fillId="0" borderId="42" xfId="0" applyFont="1" applyFill="1" applyBorder="1" applyAlignment="1">
      <alignment horizontal="left" vertical="center" wrapText="1"/>
    </xf>
    <xf numFmtId="0" fontId="28" fillId="0" borderId="65" xfId="0" applyFont="1" applyFill="1" applyBorder="1" applyAlignment="1">
      <alignment horizontal="left" vertical="center" wrapText="1"/>
    </xf>
    <xf numFmtId="0" fontId="19" fillId="0" borderId="74" xfId="0" applyFont="1" applyFill="1" applyBorder="1" applyAlignment="1">
      <alignment horizontal="center" wrapText="1"/>
    </xf>
    <xf numFmtId="0" fontId="19" fillId="0" borderId="43" xfId="0" applyFont="1" applyFill="1" applyBorder="1" applyAlignment="1">
      <alignment horizontal="center" wrapText="1"/>
    </xf>
    <xf numFmtId="0" fontId="30" fillId="9" borderId="0" xfId="0" applyFont="1" applyFill="1" applyBorder="1" applyAlignment="1">
      <alignment horizontal="left" vertical="center" wrapText="1"/>
    </xf>
    <xf numFmtId="0" fontId="28" fillId="0" borderId="60" xfId="0" applyFont="1" applyBorder="1" applyAlignment="1">
      <alignment horizontal="center" vertical="center" wrapText="1"/>
    </xf>
    <xf numFmtId="0" fontId="19" fillId="0" borderId="51" xfId="0" applyFont="1" applyFill="1" applyBorder="1" applyAlignment="1" applyProtection="1">
      <alignment horizontal="center" wrapText="1"/>
      <protection hidden="1"/>
    </xf>
    <xf numFmtId="0" fontId="28" fillId="0" borderId="43" xfId="0" applyFont="1" applyFill="1" applyBorder="1" applyAlignment="1" applyProtection="1">
      <alignment horizontal="left" vertical="center" wrapText="1"/>
      <protection locked="0" hidden="1"/>
    </xf>
    <xf numFmtId="164" fontId="28" fillId="0" borderId="0" xfId="0" applyNumberFormat="1" applyFont="1" applyBorder="1" applyAlignment="1">
      <alignment horizontal="center" vertical="center" wrapText="1"/>
    </xf>
    <xf numFmtId="166" fontId="5" fillId="0" borderId="74" xfId="0" applyNumberFormat="1" applyFont="1" applyBorder="1" applyAlignment="1" applyProtection="1">
      <alignment horizontal="left" vertical="center"/>
      <protection locked="0"/>
    </xf>
    <xf numFmtId="166" fontId="5" fillId="0" borderId="43" xfId="0" applyNumberFormat="1" applyFont="1" applyBorder="1" applyAlignment="1" applyProtection="1">
      <alignment horizontal="left" vertical="center"/>
      <protection locked="0"/>
    </xf>
    <xf numFmtId="167" fontId="5" fillId="0" borderId="43" xfId="0" applyNumberFormat="1" applyFont="1" applyBorder="1" applyAlignment="1" applyProtection="1">
      <alignment horizontal="center" vertical="center"/>
      <protection locked="0"/>
    </xf>
    <xf numFmtId="0" fontId="5" fillId="0" borderId="110" xfId="0" applyFont="1" applyBorder="1"/>
    <xf numFmtId="0" fontId="5" fillId="0" borderId="111" xfId="0" applyFont="1" applyBorder="1"/>
    <xf numFmtId="0" fontId="5" fillId="0" borderId="8" xfId="0" applyFont="1" applyBorder="1"/>
    <xf numFmtId="0" fontId="30" fillId="0" borderId="86" xfId="0" applyFont="1" applyBorder="1" applyAlignment="1">
      <alignment vertical="center"/>
    </xf>
    <xf numFmtId="0" fontId="30" fillId="0" borderId="71" xfId="0" applyFont="1" applyBorder="1" applyAlignment="1">
      <alignment vertical="center"/>
    </xf>
    <xf numFmtId="0" fontId="5" fillId="0" borderId="69" xfId="0" applyFont="1" applyBorder="1"/>
    <xf numFmtId="0" fontId="5" fillId="0" borderId="112" xfId="0" applyFont="1" applyBorder="1"/>
    <xf numFmtId="0" fontId="5" fillId="0" borderId="71" xfId="0" applyFont="1" applyBorder="1"/>
    <xf numFmtId="0" fontId="5" fillId="0" borderId="52" xfId="0" applyFont="1" applyBorder="1"/>
    <xf numFmtId="0" fontId="5" fillId="0" borderId="94" xfId="0" applyFont="1" applyBorder="1"/>
    <xf numFmtId="14" fontId="5" fillId="0" borderId="94" xfId="0" applyNumberFormat="1" applyFont="1" applyBorder="1"/>
    <xf numFmtId="0" fontId="5" fillId="0" borderId="54" xfId="0" applyFont="1" applyBorder="1"/>
    <xf numFmtId="0" fontId="5" fillId="0" borderId="90" xfId="0" applyFont="1" applyBorder="1"/>
    <xf numFmtId="0" fontId="5" fillId="0" borderId="71" xfId="0" applyFont="1" applyBorder="1" applyAlignment="1">
      <alignment vertical="center"/>
    </xf>
    <xf numFmtId="0" fontId="30" fillId="0" borderId="86" xfId="0" applyFont="1" applyBorder="1" applyAlignment="1">
      <alignment vertical="center" wrapText="1"/>
    </xf>
    <xf numFmtId="0" fontId="5" fillId="0" borderId="62" xfId="0" applyFont="1" applyBorder="1"/>
    <xf numFmtId="0" fontId="5" fillId="0" borderId="68" xfId="0" applyFont="1" applyBorder="1"/>
    <xf numFmtId="0" fontId="5" fillId="0" borderId="124" xfId="0" applyFont="1" applyBorder="1"/>
    <xf numFmtId="0" fontId="5" fillId="0" borderId="67" xfId="0" applyFont="1" applyBorder="1"/>
    <xf numFmtId="0" fontId="30" fillId="9" borderId="71" xfId="0" applyFont="1" applyFill="1" applyBorder="1" applyAlignment="1">
      <alignment horizontal="left" vertical="center" wrapText="1"/>
    </xf>
    <xf numFmtId="0" fontId="30" fillId="9" borderId="111" xfId="0" applyFont="1" applyFill="1" applyBorder="1" applyAlignment="1">
      <alignment horizontal="left" vertical="center" wrapText="1"/>
    </xf>
    <xf numFmtId="0" fontId="28" fillId="0" borderId="42" xfId="0" applyFont="1" applyFill="1" applyBorder="1" applyAlignment="1">
      <alignment vertical="center" wrapText="1"/>
    </xf>
    <xf numFmtId="0" fontId="43" fillId="0" borderId="0" xfId="0" applyFont="1" applyAlignment="1">
      <alignment vertical="center" wrapText="1"/>
    </xf>
    <xf numFmtId="0" fontId="41" fillId="0" borderId="0" xfId="0" applyFont="1" applyBorder="1" applyAlignment="1">
      <alignment horizontal="center" vertical="center"/>
    </xf>
    <xf numFmtId="0" fontId="5" fillId="0" borderId="0" xfId="0" applyFont="1" applyAlignment="1">
      <alignment vertical="center" wrapText="1"/>
    </xf>
    <xf numFmtId="0" fontId="5" fillId="0" borderId="42" xfId="0" applyFont="1" applyFill="1" applyBorder="1" applyAlignment="1">
      <alignment horizontal="left" vertical="center"/>
    </xf>
    <xf numFmtId="0" fontId="28" fillId="0" borderId="63" xfId="0" applyFont="1" applyFill="1" applyBorder="1" applyAlignment="1">
      <alignment vertical="center" wrapText="1"/>
    </xf>
    <xf numFmtId="0" fontId="19" fillId="0" borderId="64" xfId="0" applyFont="1" applyFill="1" applyBorder="1" applyAlignment="1">
      <alignment horizontal="center" wrapText="1"/>
    </xf>
    <xf numFmtId="0" fontId="5" fillId="0" borderId="76" xfId="0" applyFont="1" applyBorder="1" applyAlignment="1">
      <alignment horizontal="left" vertical="center" wrapText="1"/>
    </xf>
    <xf numFmtId="3" fontId="28" fillId="0" borderId="72" xfId="0" applyNumberFormat="1" applyFont="1" applyBorder="1" applyAlignment="1" applyProtection="1">
      <alignment horizontal="center" vertical="center"/>
      <protection locked="0"/>
    </xf>
    <xf numFmtId="3" fontId="5" fillId="0" borderId="72" xfId="0" applyNumberFormat="1" applyFont="1" applyFill="1" applyBorder="1" applyAlignment="1" applyProtection="1">
      <alignment horizontal="center" vertical="center" wrapText="1"/>
      <protection locked="0"/>
    </xf>
    <xf numFmtId="3" fontId="5" fillId="0" borderId="126" xfId="0" applyNumberFormat="1" applyFont="1" applyBorder="1" applyAlignment="1" applyProtection="1">
      <alignment horizontal="center" vertical="center"/>
      <protection locked="0"/>
    </xf>
    <xf numFmtId="3" fontId="28" fillId="0" borderId="74" xfId="0" applyNumberFormat="1" applyFont="1" applyBorder="1" applyAlignment="1" applyProtection="1">
      <alignment horizontal="center" vertical="center"/>
      <protection locked="0"/>
    </xf>
    <xf numFmtId="3" fontId="5" fillId="0" borderId="74" xfId="0" applyNumberFormat="1" applyFont="1" applyFill="1" applyBorder="1" applyAlignment="1" applyProtection="1">
      <alignment horizontal="center" vertical="center" wrapText="1"/>
      <protection locked="0"/>
    </xf>
    <xf numFmtId="3" fontId="5" fillId="0" borderId="45" xfId="0" applyNumberFormat="1" applyFont="1" applyBorder="1" applyAlignment="1" applyProtection="1">
      <alignment horizontal="center" vertical="center"/>
      <protection locked="0"/>
    </xf>
    <xf numFmtId="3" fontId="28" fillId="0" borderId="128" xfId="0" applyNumberFormat="1" applyFont="1" applyBorder="1" applyAlignment="1" applyProtection="1">
      <alignment horizontal="center" vertical="center"/>
      <protection locked="0"/>
    </xf>
    <xf numFmtId="3" fontId="5" fillId="0" borderId="128" xfId="0" applyNumberFormat="1" applyFont="1" applyFill="1" applyBorder="1" applyAlignment="1" applyProtection="1">
      <alignment horizontal="center" vertical="center" wrapText="1"/>
      <protection locked="0"/>
    </xf>
    <xf numFmtId="3" fontId="5" fillId="0" borderId="129" xfId="0" applyNumberFormat="1" applyFont="1" applyBorder="1" applyAlignment="1" applyProtection="1">
      <alignment horizontal="center" vertical="center"/>
      <protection locked="0"/>
    </xf>
    <xf numFmtId="0" fontId="5" fillId="0" borderId="125" xfId="0" applyFont="1" applyFill="1" applyBorder="1" applyAlignment="1">
      <alignment horizontal="left" vertical="center" wrapText="1"/>
    </xf>
    <xf numFmtId="0" fontId="5" fillId="0" borderId="44" xfId="0" applyFont="1" applyFill="1" applyBorder="1" applyAlignment="1">
      <alignment horizontal="left" vertical="center" wrapText="1"/>
    </xf>
    <xf numFmtId="0" fontId="5" fillId="0" borderId="127" xfId="0" applyFont="1" applyFill="1" applyBorder="1" applyAlignment="1">
      <alignment horizontal="left" vertical="center" wrapText="1"/>
    </xf>
    <xf numFmtId="0" fontId="40" fillId="0" borderId="0" xfId="0" applyFont="1" applyAlignment="1">
      <alignment horizontal="centerContinuous"/>
    </xf>
    <xf numFmtId="0" fontId="5" fillId="0" borderId="91" xfId="0" applyFont="1" applyFill="1" applyBorder="1" applyAlignment="1">
      <alignment horizontal="left" vertical="center" wrapText="1"/>
    </xf>
    <xf numFmtId="0" fontId="1" fillId="0" borderId="66" xfId="0" applyFont="1" applyBorder="1" applyAlignment="1" applyProtection="1">
      <alignment horizontal="center" vertical="center" wrapText="1"/>
      <protection locked="0"/>
    </xf>
    <xf numFmtId="3" fontId="5" fillId="0" borderId="66" xfId="0" applyNumberFormat="1" applyFont="1" applyBorder="1" applyAlignment="1" applyProtection="1">
      <alignment horizontal="center" vertical="center" wrapText="1"/>
      <protection locked="0"/>
    </xf>
    <xf numFmtId="0" fontId="13" fillId="0" borderId="0" xfId="0" applyFont="1" applyFill="1" applyAlignment="1">
      <alignment horizontal="right"/>
    </xf>
    <xf numFmtId="0" fontId="19" fillId="0" borderId="0" xfId="0" applyFont="1" applyBorder="1" applyAlignment="1">
      <alignment horizontal="centerContinuous" wrapText="1"/>
    </xf>
    <xf numFmtId="0" fontId="13" fillId="0" borderId="0" xfId="0" applyFont="1" applyAlignment="1">
      <alignment horizontal="center"/>
    </xf>
    <xf numFmtId="0" fontId="20" fillId="0" borderId="72" xfId="0" applyFont="1" applyBorder="1" applyAlignment="1" applyProtection="1">
      <alignment horizontal="center" wrapText="1"/>
    </xf>
    <xf numFmtId="0" fontId="20" fillId="0" borderId="73" xfId="0" applyFont="1" applyBorder="1" applyAlignment="1" applyProtection="1">
      <alignment horizontal="center" wrapText="1"/>
    </xf>
    <xf numFmtId="0" fontId="40" fillId="0" borderId="0" xfId="0" applyFont="1"/>
    <xf numFmtId="164" fontId="13" fillId="0" borderId="0" xfId="0" applyNumberFormat="1" applyFont="1" applyBorder="1" applyAlignment="1">
      <alignment horizontal="centerContinuous" vertical="center" wrapText="1"/>
    </xf>
    <xf numFmtId="164" fontId="11" fillId="0" borderId="0" xfId="0" applyNumberFormat="1" applyFont="1" applyBorder="1" applyAlignment="1">
      <alignment horizontal="centerContinuous" vertical="center" wrapText="1"/>
    </xf>
    <xf numFmtId="0" fontId="13" fillId="0" borderId="0" xfId="0" applyFont="1" applyBorder="1" applyAlignment="1">
      <alignment horizontal="centerContinuous" wrapText="1"/>
    </xf>
    <xf numFmtId="0" fontId="28" fillId="0" borderId="64" xfId="0" applyFont="1" applyBorder="1" applyAlignment="1">
      <alignment horizontal="center" vertical="center" wrapText="1"/>
    </xf>
    <xf numFmtId="0" fontId="28" fillId="0" borderId="0" xfId="0" applyFont="1" applyFill="1" applyBorder="1" applyAlignment="1">
      <alignment horizontal="left" vertical="center" indent="3"/>
    </xf>
    <xf numFmtId="0" fontId="14" fillId="0" borderId="0" xfId="0" applyFont="1" applyBorder="1" applyAlignment="1">
      <alignment horizontal="centerContinuous" vertical="center"/>
    </xf>
    <xf numFmtId="0" fontId="38" fillId="0" borderId="51" xfId="0" applyFont="1" applyBorder="1" applyAlignment="1" applyProtection="1">
      <alignment horizontal="center"/>
    </xf>
    <xf numFmtId="0" fontId="28" fillId="0" borderId="0" xfId="0" applyFont="1" applyFill="1" applyBorder="1" applyAlignment="1">
      <alignment horizontal="justify" vertical="center" wrapText="1"/>
    </xf>
    <xf numFmtId="0" fontId="28" fillId="0" borderId="60" xfId="0" applyFont="1" applyFill="1" applyBorder="1" applyAlignment="1">
      <alignment horizontal="center" vertical="center" wrapText="1"/>
    </xf>
    <xf numFmtId="0" fontId="5" fillId="0" borderId="0" xfId="0" applyFont="1" applyBorder="1" applyAlignment="1">
      <alignment vertical="center" wrapText="1"/>
    </xf>
    <xf numFmtId="0" fontId="1" fillId="0" borderId="0" xfId="0" applyFont="1" applyBorder="1" applyAlignment="1" applyProtection="1">
      <alignment horizontal="center" vertical="center" wrapText="1"/>
    </xf>
    <xf numFmtId="0" fontId="1" fillId="0" borderId="0" xfId="0" applyFont="1" applyBorder="1" applyAlignment="1" applyProtection="1">
      <alignment vertical="center" wrapText="1"/>
    </xf>
    <xf numFmtId="0" fontId="1" fillId="3" borderId="0" xfId="0" applyFont="1" applyFill="1" applyBorder="1" applyAlignment="1" applyProtection="1">
      <alignment vertical="center" wrapText="1"/>
    </xf>
    <xf numFmtId="164" fontId="28" fillId="0" borderId="78" xfId="0" applyNumberFormat="1" applyFont="1" applyBorder="1" applyAlignment="1" applyProtection="1">
      <alignment horizontal="center" vertical="center"/>
    </xf>
    <xf numFmtId="0" fontId="1" fillId="0" borderId="0" xfId="0" applyFont="1" applyBorder="1" applyAlignment="1" applyProtection="1">
      <alignment horizontal="left" vertical="center" wrapText="1"/>
    </xf>
    <xf numFmtId="0" fontId="1" fillId="0" borderId="0" xfId="0" applyFont="1" applyAlignment="1" applyProtection="1">
      <alignment vertical="center"/>
    </xf>
    <xf numFmtId="0" fontId="1" fillId="0" borderId="0" xfId="0" applyFont="1" applyBorder="1" applyAlignment="1" applyProtection="1">
      <alignment horizontal="left" vertical="center" wrapText="1" indent="2"/>
    </xf>
    <xf numFmtId="0" fontId="1" fillId="0" borderId="0" xfId="0" applyFont="1" applyFill="1" applyBorder="1" applyAlignment="1" applyProtection="1">
      <alignment wrapText="1"/>
    </xf>
    <xf numFmtId="0" fontId="1" fillId="0" borderId="0" xfId="0" applyFont="1" applyBorder="1" applyProtection="1"/>
    <xf numFmtId="0" fontId="9" fillId="0" borderId="0" xfId="0" applyFont="1" applyBorder="1" applyAlignment="1" applyProtection="1">
      <alignment horizontal="left" vertical="center" wrapText="1"/>
    </xf>
    <xf numFmtId="0" fontId="9" fillId="0" borderId="0" xfId="0" applyFont="1" applyBorder="1" applyAlignment="1" applyProtection="1">
      <alignment horizontal="centerContinuous" vertical="center" wrapText="1"/>
    </xf>
    <xf numFmtId="0" fontId="16" fillId="0" borderId="0" xfId="0" applyFont="1" applyBorder="1" applyAlignment="1" applyProtection="1">
      <alignment horizontal="centerContinuous" vertical="top" wrapText="1"/>
    </xf>
    <xf numFmtId="0" fontId="5" fillId="0" borderId="63" xfId="0" applyFont="1" applyBorder="1" applyAlignment="1" applyProtection="1">
      <alignment horizontal="center" vertical="center" wrapText="1"/>
    </xf>
    <xf numFmtId="0" fontId="5" fillId="0" borderId="65" xfId="0" applyFont="1" applyBorder="1" applyAlignment="1" applyProtection="1">
      <alignment horizontal="center" vertical="center" wrapText="1"/>
    </xf>
    <xf numFmtId="0" fontId="5" fillId="0" borderId="0" xfId="0" applyFont="1" applyAlignment="1" applyProtection="1">
      <alignment horizontal="centerContinuous"/>
    </xf>
    <xf numFmtId="0" fontId="5" fillId="0" borderId="0" xfId="0" applyFont="1" applyAlignment="1" applyProtection="1">
      <alignment horizontal="centerContinuous" vertical="center"/>
    </xf>
    <xf numFmtId="0" fontId="13" fillId="0" borderId="0" xfId="0" applyFont="1" applyBorder="1" applyAlignment="1" applyProtection="1">
      <alignment horizontal="centerContinuous" vertical="center"/>
    </xf>
    <xf numFmtId="0" fontId="1" fillId="0" borderId="0" xfId="0" applyFont="1" applyBorder="1" applyAlignment="1" applyProtection="1">
      <alignment horizontal="centerContinuous" vertical="center"/>
    </xf>
    <xf numFmtId="0" fontId="22" fillId="0" borderId="0" xfId="0" applyFont="1" applyAlignment="1" applyProtection="1">
      <alignment horizontal="centerContinuous" vertical="center"/>
    </xf>
    <xf numFmtId="0" fontId="22" fillId="0" borderId="0" xfId="0" applyFont="1" applyAlignment="1" applyProtection="1">
      <alignment horizontal="left" vertical="center" indent="3"/>
    </xf>
    <xf numFmtId="0" fontId="5" fillId="0" borderId="74" xfId="0" applyFont="1" applyFill="1" applyBorder="1" applyAlignment="1" applyProtection="1">
      <alignment horizontal="center" vertical="center" wrapText="1"/>
    </xf>
    <xf numFmtId="0" fontId="5" fillId="0" borderId="42" xfId="0" applyFont="1" applyBorder="1" applyAlignment="1">
      <alignment horizontal="left" vertical="center" wrapText="1"/>
    </xf>
    <xf numFmtId="0" fontId="5" fillId="0" borderId="65" xfId="0" applyFont="1" applyBorder="1" applyAlignment="1">
      <alignment horizontal="left" vertical="center" wrapText="1"/>
    </xf>
    <xf numFmtId="0" fontId="28" fillId="0" borderId="72" xfId="0" applyFont="1" applyBorder="1" applyAlignment="1">
      <alignment horizontal="center" vertical="center" wrapText="1"/>
    </xf>
    <xf numFmtId="0" fontId="28" fillId="0" borderId="64" xfId="0" applyFont="1" applyBorder="1" applyAlignment="1">
      <alignment horizontal="center" vertical="center" wrapText="1"/>
    </xf>
    <xf numFmtId="0" fontId="28" fillId="0" borderId="42" xfId="0" applyFont="1" applyBorder="1" applyAlignment="1">
      <alignment horizontal="left" vertical="center" wrapText="1"/>
    </xf>
    <xf numFmtId="0" fontId="19" fillId="0" borderId="43" xfId="0" applyFont="1" applyFill="1" applyBorder="1" applyAlignment="1">
      <alignment horizontal="center" wrapText="1"/>
    </xf>
    <xf numFmtId="0" fontId="5" fillId="0" borderId="42" xfId="0" applyFont="1" applyFill="1" applyBorder="1" applyAlignment="1">
      <alignment horizontal="left" vertical="center" wrapText="1"/>
    </xf>
    <xf numFmtId="0" fontId="28" fillId="3" borderId="50" xfId="0" applyFont="1" applyFill="1" applyBorder="1" applyAlignment="1">
      <alignment horizontal="left" vertical="center" wrapText="1"/>
    </xf>
    <xf numFmtId="0" fontId="28" fillId="0" borderId="65" xfId="0" applyFont="1" applyBorder="1" applyAlignment="1">
      <alignment horizontal="left" vertical="center" wrapText="1"/>
    </xf>
    <xf numFmtId="0" fontId="10" fillId="0" borderId="63" xfId="0" applyFont="1" applyBorder="1" applyAlignment="1">
      <alignment horizontal="left" vertical="center" wrapText="1"/>
    </xf>
    <xf numFmtId="0" fontId="5" fillId="0" borderId="64" xfId="0" applyFont="1" applyBorder="1" applyAlignment="1">
      <alignment horizontal="center" vertical="center" wrapText="1"/>
    </xf>
    <xf numFmtId="0" fontId="22" fillId="0" borderId="0" xfId="0" applyFont="1" applyFill="1" applyBorder="1" applyAlignment="1">
      <alignment horizontal="centerContinuous" vertical="center" wrapText="1"/>
    </xf>
    <xf numFmtId="0" fontId="5" fillId="0" borderId="72" xfId="0" applyFont="1" applyBorder="1" applyAlignment="1">
      <alignment horizontal="center" vertical="center" wrapText="1"/>
    </xf>
    <xf numFmtId="0" fontId="25" fillId="0" borderId="0" xfId="0" applyFont="1" applyBorder="1" applyAlignment="1">
      <alignment horizontal="left" vertical="center" wrapText="1"/>
    </xf>
    <xf numFmtId="0" fontId="14" fillId="0" borderId="0" xfId="0" applyFont="1" applyBorder="1" applyAlignment="1">
      <alignment horizontal="left" indent="5"/>
    </xf>
    <xf numFmtId="0" fontId="28" fillId="0" borderId="66" xfId="0" applyFont="1" applyBorder="1" applyAlignment="1" applyProtection="1">
      <alignment horizontal="left" vertical="center"/>
      <protection locked="0"/>
    </xf>
    <xf numFmtId="0" fontId="5" fillId="4" borderId="12" xfId="2" applyFont="1" applyFill="1" applyBorder="1" applyAlignment="1">
      <alignment horizontal="center" vertical="center" wrapText="1"/>
    </xf>
    <xf numFmtId="0" fontId="36" fillId="4" borderId="11" xfId="3" applyFont="1" applyFill="1" applyBorder="1" applyAlignment="1">
      <alignment vertical="center" wrapText="1"/>
    </xf>
    <xf numFmtId="0" fontId="7" fillId="4" borderId="25" xfId="0" applyFont="1" applyFill="1" applyBorder="1" applyAlignment="1">
      <alignment vertical="center" wrapText="1"/>
    </xf>
    <xf numFmtId="0" fontId="10" fillId="0" borderId="72" xfId="0" applyFont="1" applyBorder="1" applyAlignment="1">
      <alignment horizontal="center" wrapText="1"/>
    </xf>
    <xf numFmtId="0" fontId="5" fillId="10" borderId="64" xfId="0" applyFont="1" applyFill="1" applyBorder="1" applyAlignment="1">
      <alignment vertical="center" wrapText="1"/>
    </xf>
    <xf numFmtId="0" fontId="5" fillId="3" borderId="42" xfId="0" applyFont="1" applyFill="1" applyBorder="1" applyAlignment="1">
      <alignment vertical="center" wrapText="1"/>
    </xf>
    <xf numFmtId="167" fontId="28" fillId="0" borderId="43" xfId="0" applyNumberFormat="1" applyFont="1" applyBorder="1" applyAlignment="1" applyProtection="1">
      <alignment horizontal="center" vertical="center" wrapText="1"/>
      <protection locked="0"/>
    </xf>
    <xf numFmtId="0" fontId="30" fillId="3" borderId="42" xfId="0" applyFont="1" applyFill="1" applyBorder="1" applyAlignment="1">
      <alignment vertical="center" wrapText="1"/>
    </xf>
    <xf numFmtId="0" fontId="30" fillId="3" borderId="65" xfId="0" applyFont="1" applyFill="1" applyBorder="1" applyAlignment="1">
      <alignment vertical="center" wrapText="1"/>
    </xf>
    <xf numFmtId="0" fontId="5" fillId="10" borderId="66" xfId="0" applyFont="1" applyFill="1" applyBorder="1" applyAlignment="1">
      <alignment vertical="center" wrapText="1"/>
    </xf>
    <xf numFmtId="0" fontId="5" fillId="3" borderId="98" xfId="0" applyFont="1" applyFill="1" applyBorder="1" applyAlignment="1">
      <alignment horizontal="left" vertical="center" wrapText="1"/>
    </xf>
    <xf numFmtId="167" fontId="28" fillId="0" borderId="66" xfId="0" applyNumberFormat="1" applyFont="1" applyBorder="1" applyAlignment="1" applyProtection="1">
      <alignment horizontal="center" vertical="center" wrapText="1"/>
      <protection locked="0"/>
    </xf>
    <xf numFmtId="0" fontId="5" fillId="0" borderId="42" xfId="0" applyFont="1" applyBorder="1" applyAlignment="1">
      <alignment horizontal="left" vertical="center" wrapText="1"/>
    </xf>
    <xf numFmtId="0" fontId="5" fillId="0" borderId="65" xfId="0" applyFont="1" applyBorder="1" applyAlignment="1">
      <alignment horizontal="left" vertical="center" wrapText="1"/>
    </xf>
    <xf numFmtId="0" fontId="7" fillId="4" borderId="0" xfId="0" applyFont="1" applyFill="1" applyAlignment="1">
      <alignment horizontal="center" vertical="center" wrapText="1"/>
    </xf>
    <xf numFmtId="0" fontId="5" fillId="0" borderId="65" xfId="0" applyFont="1" applyBorder="1" applyAlignment="1">
      <alignment horizontal="left" vertical="center" wrapText="1"/>
    </xf>
    <xf numFmtId="0" fontId="5" fillId="0" borderId="65" xfId="0" applyFont="1" applyBorder="1" applyAlignment="1">
      <alignment vertical="center"/>
    </xf>
    <xf numFmtId="168" fontId="28" fillId="0" borderId="66" xfId="0" applyNumberFormat="1" applyFont="1" applyBorder="1" applyAlignment="1" applyProtection="1">
      <alignment horizontal="left" vertical="center"/>
      <protection locked="0"/>
    </xf>
    <xf numFmtId="0" fontId="5" fillId="0" borderId="8" xfId="0" applyFont="1" applyBorder="1" applyAlignment="1">
      <alignment vertical="center"/>
    </xf>
    <xf numFmtId="0" fontId="5" fillId="0" borderId="65" xfId="0" applyFont="1" applyFill="1" applyBorder="1" applyAlignment="1">
      <alignment vertical="center"/>
    </xf>
    <xf numFmtId="168" fontId="28" fillId="0" borderId="66" xfId="0" applyNumberFormat="1" applyFont="1" applyFill="1" applyBorder="1" applyAlignment="1" applyProtection="1">
      <alignment horizontal="left" vertical="center"/>
      <protection locked="0"/>
    </xf>
    <xf numFmtId="0" fontId="14" fillId="0" borderId="0" xfId="0" applyFont="1" applyBorder="1" applyAlignment="1" applyProtection="1">
      <alignment horizontal="left" vertical="center" indent="5"/>
    </xf>
    <xf numFmtId="0" fontId="5" fillId="0" borderId="135" xfId="0" applyFont="1" applyBorder="1" applyAlignment="1">
      <alignment horizontal="left" vertical="center" wrapText="1"/>
    </xf>
    <xf numFmtId="0" fontId="28" fillId="0" borderId="129" xfId="0" applyFont="1" applyBorder="1" applyAlignment="1" applyProtection="1">
      <alignment horizontal="left" vertical="center"/>
      <protection locked="0" hidden="1"/>
    </xf>
    <xf numFmtId="0" fontId="5" fillId="0" borderId="55" xfId="0" applyFont="1" applyFill="1" applyBorder="1" applyAlignment="1">
      <alignment horizontal="left" vertical="center"/>
    </xf>
    <xf numFmtId="0" fontId="28" fillId="0" borderId="66" xfId="0" applyFont="1" applyFill="1" applyBorder="1" applyAlignment="1" applyProtection="1">
      <alignment horizontal="left" vertical="center"/>
      <protection locked="0"/>
    </xf>
    <xf numFmtId="0" fontId="1" fillId="0" borderId="77" xfId="0" applyFont="1" applyBorder="1" applyAlignment="1">
      <alignment horizontal="left" vertical="center" indent="3"/>
    </xf>
    <xf numFmtId="0" fontId="14" fillId="0" borderId="77" xfId="0" applyFont="1" applyBorder="1" applyAlignment="1">
      <alignment horizontal="left" vertical="center" indent="5"/>
    </xf>
    <xf numFmtId="0" fontId="5" fillId="0" borderId="79" xfId="0" applyFont="1" applyFill="1" applyBorder="1" applyAlignment="1">
      <alignment vertical="center"/>
    </xf>
    <xf numFmtId="0" fontId="19" fillId="0" borderId="120" xfId="0" applyFont="1" applyBorder="1" applyAlignment="1" applyProtection="1">
      <alignment horizontal="center" wrapText="1"/>
      <protection hidden="1"/>
    </xf>
    <xf numFmtId="0" fontId="1" fillId="0" borderId="0" xfId="0" applyFont="1" applyBorder="1" applyAlignment="1">
      <alignment horizontal="left" vertical="center" indent="3"/>
    </xf>
    <xf numFmtId="0" fontId="14" fillId="0" borderId="0" xfId="0" applyFont="1" applyBorder="1" applyAlignment="1">
      <alignment horizontal="left" vertical="center" indent="5"/>
    </xf>
    <xf numFmtId="0" fontId="5" fillId="0" borderId="65" xfId="0" applyFont="1" applyBorder="1" applyAlignment="1">
      <alignment horizontal="left" vertical="center"/>
    </xf>
    <xf numFmtId="0" fontId="28" fillId="0" borderId="66" xfId="0" applyFont="1" applyBorder="1" applyAlignment="1" applyProtection="1">
      <alignment horizontal="left" vertical="center"/>
      <protection locked="0" hidden="1"/>
    </xf>
    <xf numFmtId="0" fontId="6" fillId="0" borderId="68" xfId="0" applyFont="1" applyBorder="1" applyAlignment="1">
      <alignment horizontal="left" vertical="center" wrapText="1"/>
    </xf>
    <xf numFmtId="0" fontId="19" fillId="0" borderId="66" xfId="0" applyFont="1" applyBorder="1" applyAlignment="1" applyProtection="1">
      <alignment horizontal="center" wrapText="1"/>
      <protection hidden="1"/>
    </xf>
    <xf numFmtId="0" fontId="1" fillId="0" borderId="0" xfId="0" applyFont="1" applyAlignment="1" applyProtection="1">
      <alignment horizontal="center" vertical="center"/>
      <protection locked="0"/>
    </xf>
    <xf numFmtId="0" fontId="1" fillId="0" borderId="0" xfId="0" applyFont="1" applyAlignment="1" applyProtection="1">
      <alignment horizontal="center" vertical="center"/>
    </xf>
    <xf numFmtId="0" fontId="19" fillId="0" borderId="56" xfId="0" applyFont="1" applyBorder="1" applyAlignment="1">
      <alignment horizontal="center" wrapText="1"/>
    </xf>
    <xf numFmtId="167" fontId="28" fillId="0" borderId="66" xfId="0" applyNumberFormat="1" applyFont="1" applyBorder="1" applyAlignment="1" applyProtection="1">
      <alignment horizontal="center" vertical="center"/>
      <protection locked="0"/>
    </xf>
    <xf numFmtId="0" fontId="47" fillId="11" borderId="137" xfId="1" applyFont="1" applyFill="1" applyBorder="1"/>
    <xf numFmtId="0" fontId="48" fillId="11" borderId="0" xfId="1" applyFont="1" applyFill="1"/>
    <xf numFmtId="0" fontId="48" fillId="11" borderId="0" xfId="1" applyFont="1" applyFill="1" applyAlignment="1">
      <alignment horizontal="center"/>
    </xf>
    <xf numFmtId="0" fontId="48" fillId="11" borderId="0" xfId="1" applyFont="1" applyFill="1" applyProtection="1">
      <protection hidden="1"/>
    </xf>
    <xf numFmtId="0" fontId="50" fillId="11" borderId="0" xfId="1" applyFont="1" applyFill="1" applyAlignment="1" applyProtection="1">
      <alignment horizontal="center"/>
      <protection hidden="1"/>
    </xf>
    <xf numFmtId="0" fontId="51" fillId="3" borderId="137" xfId="1" applyFont="1" applyFill="1" applyBorder="1" applyProtection="1">
      <protection hidden="1"/>
    </xf>
    <xf numFmtId="0" fontId="51" fillId="3" borderId="14" xfId="1" applyFont="1" applyFill="1" applyBorder="1" applyProtection="1">
      <protection hidden="1"/>
    </xf>
    <xf numFmtId="0" fontId="52" fillId="3" borderId="14" xfId="1" applyFont="1" applyFill="1" applyBorder="1" applyAlignment="1" applyProtection="1">
      <alignment horizontal="center"/>
      <protection hidden="1"/>
    </xf>
    <xf numFmtId="0" fontId="51" fillId="3" borderId="139" xfId="1" applyFont="1" applyFill="1" applyBorder="1" applyAlignment="1" applyProtection="1">
      <alignment horizontal="center"/>
      <protection hidden="1"/>
    </xf>
    <xf numFmtId="0" fontId="48" fillId="11" borderId="0" xfId="1" applyFont="1" applyFill="1" applyAlignment="1" applyProtection="1">
      <alignment horizontal="center"/>
      <protection hidden="1"/>
    </xf>
    <xf numFmtId="0" fontId="53" fillId="11" borderId="0" xfId="1" applyFont="1" applyFill="1" applyAlignment="1">
      <alignment horizontal="center"/>
    </xf>
    <xf numFmtId="0" fontId="9" fillId="3" borderId="17" xfId="1" applyFont="1" applyFill="1" applyBorder="1" applyAlignment="1">
      <alignment horizontal="center"/>
    </xf>
    <xf numFmtId="0" fontId="6" fillId="3" borderId="0" xfId="1" applyFont="1" applyFill="1" applyBorder="1" applyProtection="1">
      <protection hidden="1"/>
    </xf>
    <xf numFmtId="0" fontId="6" fillId="3" borderId="0" xfId="1" applyFont="1" applyFill="1" applyBorder="1" applyAlignment="1" applyProtection="1">
      <alignment horizontal="center"/>
      <protection hidden="1"/>
    </xf>
    <xf numFmtId="0" fontId="6" fillId="3" borderId="18" xfId="1" applyFont="1" applyFill="1" applyBorder="1" applyAlignment="1" applyProtection="1">
      <alignment horizontal="center"/>
      <protection hidden="1"/>
    </xf>
    <xf numFmtId="16" fontId="48" fillId="3" borderId="17" xfId="1" quotePrefix="1" applyNumberFormat="1" applyFont="1" applyFill="1" applyBorder="1" applyAlignment="1">
      <alignment horizontal="center"/>
    </xf>
    <xf numFmtId="0" fontId="5" fillId="3" borderId="0" xfId="1" applyFont="1" applyFill="1" applyBorder="1"/>
    <xf numFmtId="0" fontId="28" fillId="3" borderId="18" xfId="1" applyFont="1" applyFill="1" applyBorder="1" applyAlignment="1" applyProtection="1">
      <alignment horizontal="center"/>
    </xf>
    <xf numFmtId="0" fontId="5" fillId="3" borderId="0" xfId="1" applyFont="1" applyFill="1" applyBorder="1" applyProtection="1">
      <protection hidden="1"/>
    </xf>
    <xf numFmtId="0" fontId="48" fillId="3" borderId="17" xfId="1" applyFont="1" applyFill="1" applyBorder="1" applyAlignment="1">
      <alignment horizontal="center"/>
    </xf>
    <xf numFmtId="0" fontId="4" fillId="3" borderId="0" xfId="1" applyFont="1" applyFill="1" applyBorder="1" applyProtection="1">
      <protection hidden="1"/>
    </xf>
    <xf numFmtId="0" fontId="3" fillId="3" borderId="0" xfId="1" applyFont="1" applyFill="1" applyBorder="1" applyProtection="1">
      <protection hidden="1"/>
    </xf>
    <xf numFmtId="0" fontId="4" fillId="3" borderId="0" xfId="1" applyFont="1" applyFill="1" applyBorder="1" applyAlignment="1" applyProtection="1">
      <alignment horizontal="center"/>
      <protection hidden="1"/>
    </xf>
    <xf numFmtId="0" fontId="54" fillId="3" borderId="18" xfId="1" applyFont="1" applyFill="1" applyBorder="1" applyAlignment="1" applyProtection="1">
      <alignment horizontal="center"/>
    </xf>
    <xf numFmtId="0" fontId="48" fillId="3" borderId="17" xfId="1" quotePrefix="1" applyNumberFormat="1" applyFont="1" applyFill="1" applyBorder="1" applyAlignment="1">
      <alignment horizontal="center"/>
    </xf>
    <xf numFmtId="0" fontId="29" fillId="3" borderId="0" xfId="0" applyFont="1" applyFill="1" applyBorder="1" applyAlignment="1" applyProtection="1">
      <alignment vertical="center"/>
    </xf>
    <xf numFmtId="0" fontId="48" fillId="3" borderId="0" xfId="1" applyFont="1" applyFill="1" applyBorder="1" applyProtection="1">
      <protection hidden="1"/>
    </xf>
    <xf numFmtId="0" fontId="9" fillId="3" borderId="0" xfId="1" applyFont="1" applyFill="1" applyBorder="1" applyAlignment="1" applyProtection="1">
      <alignment horizontal="center"/>
      <protection hidden="1"/>
    </xf>
    <xf numFmtId="0" fontId="9" fillId="3" borderId="18" xfId="1" applyFont="1" applyFill="1" applyBorder="1" applyAlignment="1" applyProtection="1">
      <alignment horizontal="center"/>
      <protection hidden="1"/>
    </xf>
    <xf numFmtId="0" fontId="48" fillId="3" borderId="17" xfId="1" quotePrefix="1" applyFont="1" applyFill="1" applyBorder="1" applyAlignment="1">
      <alignment horizontal="center"/>
    </xf>
    <xf numFmtId="0" fontId="14" fillId="3" borderId="18" xfId="1" applyFont="1" applyFill="1" applyBorder="1" applyAlignment="1" applyProtection="1">
      <alignment horizontal="center"/>
    </xf>
    <xf numFmtId="0" fontId="48" fillId="3" borderId="17" xfId="1" applyFont="1" applyFill="1" applyBorder="1"/>
    <xf numFmtId="0" fontId="48" fillId="3" borderId="15" xfId="1" applyFont="1" applyFill="1" applyBorder="1"/>
    <xf numFmtId="0" fontId="48" fillId="3" borderId="140" xfId="1" applyFont="1" applyFill="1" applyBorder="1" applyProtection="1">
      <protection hidden="1"/>
    </xf>
    <xf numFmtId="0" fontId="48" fillId="3" borderId="140" xfId="1" applyFont="1" applyFill="1" applyBorder="1" applyAlignment="1" applyProtection="1">
      <alignment horizontal="center"/>
      <protection hidden="1"/>
    </xf>
    <xf numFmtId="0" fontId="48" fillId="3" borderId="16" xfId="1" applyFont="1" applyFill="1" applyBorder="1" applyAlignment="1" applyProtection="1">
      <alignment horizontal="center"/>
      <protection hidden="1"/>
    </xf>
    <xf numFmtId="0" fontId="35" fillId="0" borderId="0" xfId="0" applyFont="1" applyBorder="1" applyAlignment="1" applyProtection="1">
      <alignment horizontal="left" vertical="center" wrapText="1" indent="3"/>
    </xf>
    <xf numFmtId="0" fontId="19" fillId="0" borderId="43" xfId="0" applyFont="1" applyBorder="1" applyAlignment="1">
      <alignment horizontal="center"/>
    </xf>
    <xf numFmtId="168" fontId="28" fillId="0" borderId="0" xfId="0" applyNumberFormat="1" applyFont="1" applyBorder="1" applyAlignment="1" applyProtection="1">
      <alignment horizontal="left" vertical="center"/>
    </xf>
    <xf numFmtId="168" fontId="28" fillId="0" borderId="8" xfId="0" applyNumberFormat="1" applyFont="1" applyBorder="1" applyAlignment="1" applyProtection="1">
      <alignment horizontal="left" vertical="center"/>
    </xf>
    <xf numFmtId="167" fontId="5" fillId="0" borderId="75" xfId="0" applyNumberFormat="1" applyFont="1" applyBorder="1" applyAlignment="1" applyProtection="1">
      <alignment horizontal="center" vertical="center" wrapText="1"/>
      <protection locked="0"/>
    </xf>
    <xf numFmtId="167" fontId="5" fillId="0" borderId="74" xfId="0" applyNumberFormat="1" applyFont="1" applyBorder="1" applyAlignment="1" applyProtection="1">
      <alignment horizontal="center" vertical="center" wrapText="1"/>
      <protection locked="0"/>
    </xf>
    <xf numFmtId="167" fontId="5" fillId="0" borderId="73" xfId="0" applyNumberFormat="1" applyFont="1" applyBorder="1" applyAlignment="1" applyProtection="1">
      <alignment horizontal="center" vertical="center" wrapText="1"/>
      <protection locked="0"/>
    </xf>
    <xf numFmtId="0" fontId="20" fillId="0" borderId="75" xfId="0" applyFont="1" applyBorder="1" applyAlignment="1">
      <alignment horizontal="center" wrapText="1"/>
    </xf>
    <xf numFmtId="0" fontId="28" fillId="0" borderId="0" xfId="0" applyFont="1"/>
    <xf numFmtId="0" fontId="5" fillId="0" borderId="131" xfId="0" applyFont="1" applyBorder="1" applyAlignment="1">
      <alignment vertical="center" wrapText="1"/>
    </xf>
    <xf numFmtId="0" fontId="10" fillId="0" borderId="61" xfId="0" applyFont="1" applyBorder="1" applyAlignment="1">
      <alignment horizontal="left" vertical="center" wrapText="1"/>
    </xf>
    <xf numFmtId="0" fontId="1" fillId="0" borderId="85" xfId="0" applyFont="1" applyBorder="1" applyAlignment="1">
      <alignment horizontal="left" vertical="center" wrapText="1"/>
    </xf>
    <xf numFmtId="0" fontId="1" fillId="0" borderId="85" xfId="0" applyFont="1" applyBorder="1" applyAlignment="1">
      <alignment horizontal="center" vertical="center" wrapText="1"/>
    </xf>
    <xf numFmtId="0" fontId="1" fillId="0" borderId="60" xfId="0" applyFont="1" applyBorder="1" applyAlignment="1">
      <alignment horizontal="center" vertical="center" wrapText="1"/>
    </xf>
    <xf numFmtId="0" fontId="46" fillId="0" borderId="0" xfId="0" applyFont="1" applyBorder="1" applyAlignment="1">
      <alignment horizontal="centerContinuous" vertical="center" wrapText="1"/>
    </xf>
    <xf numFmtId="0" fontId="34" fillId="0" borderId="0" xfId="0" applyFont="1" applyAlignment="1">
      <alignment horizontal="centerContinuous" vertical="center"/>
    </xf>
    <xf numFmtId="0" fontId="1" fillId="0" borderId="0" xfId="0" applyFont="1" applyAlignment="1">
      <alignment horizontal="centerContinuous"/>
    </xf>
    <xf numFmtId="0" fontId="14" fillId="0" borderId="0" xfId="0" applyFont="1" applyAlignment="1">
      <alignment horizontal="centerContinuous"/>
    </xf>
    <xf numFmtId="0" fontId="5" fillId="0" borderId="95" xfId="0" applyFont="1" applyBorder="1" applyAlignment="1">
      <alignment horizontal="center" vertical="center"/>
    </xf>
    <xf numFmtId="0" fontId="5" fillId="0" borderId="98" xfId="0" applyFont="1" applyBorder="1" applyAlignment="1">
      <alignment horizontal="center" vertical="center"/>
    </xf>
    <xf numFmtId="0" fontId="5" fillId="0" borderId="0" xfId="0" applyFont="1" applyAlignment="1">
      <alignment horizontal="justify" vertical="center"/>
    </xf>
    <xf numFmtId="0" fontId="5" fillId="0" borderId="101" xfId="0" applyFont="1" applyBorder="1" applyAlignment="1">
      <alignment horizontal="center" vertical="center"/>
    </xf>
    <xf numFmtId="0" fontId="5" fillId="0" borderId="103" xfId="0" applyFont="1" applyBorder="1" applyAlignment="1">
      <alignment horizontal="left" vertical="center" wrapText="1"/>
    </xf>
    <xf numFmtId="0" fontId="5" fillId="0" borderId="97" xfId="0" applyFont="1" applyBorder="1" applyAlignment="1">
      <alignment horizontal="left" vertical="center" wrapText="1"/>
    </xf>
    <xf numFmtId="0" fontId="5" fillId="0" borderId="100" xfId="0" applyFont="1" applyBorder="1" applyAlignment="1">
      <alignment horizontal="left" vertical="center" wrapText="1"/>
    </xf>
    <xf numFmtId="167" fontId="14" fillId="0" borderId="52" xfId="0" applyNumberFormat="1" applyFont="1" applyBorder="1" applyAlignment="1" applyProtection="1">
      <alignment horizontal="center" vertical="center"/>
      <protection locked="0"/>
    </xf>
    <xf numFmtId="167" fontId="28" fillId="0" borderId="103" xfId="0" applyNumberFormat="1" applyFont="1" applyBorder="1" applyAlignment="1" applyProtection="1">
      <alignment horizontal="center" vertical="center" wrapText="1"/>
      <protection locked="0"/>
    </xf>
    <xf numFmtId="167" fontId="28" fillId="0" borderId="97" xfId="0" applyNumberFormat="1" applyFont="1" applyBorder="1" applyAlignment="1" applyProtection="1">
      <alignment horizontal="center" vertical="center" wrapText="1"/>
      <protection locked="0"/>
    </xf>
    <xf numFmtId="167" fontId="28" fillId="0" borderId="100" xfId="0" applyNumberFormat="1" applyFont="1" applyBorder="1" applyAlignment="1" applyProtection="1">
      <alignment horizontal="center" vertical="center" wrapText="1"/>
      <protection locked="0"/>
    </xf>
    <xf numFmtId="167" fontId="14" fillId="0" borderId="74" xfId="0" applyNumberFormat="1" applyFont="1" applyBorder="1" applyAlignment="1" applyProtection="1">
      <alignment horizontal="center" vertical="center" wrapText="1"/>
      <protection locked="0"/>
    </xf>
    <xf numFmtId="167" fontId="14" fillId="0" borderId="43" xfId="0" applyNumberFormat="1" applyFont="1" applyBorder="1" applyAlignment="1" applyProtection="1">
      <alignment horizontal="center" vertical="center" wrapText="1"/>
      <protection locked="0"/>
    </xf>
    <xf numFmtId="167" fontId="28" fillId="0" borderId="93" xfId="0" applyNumberFormat="1" applyFont="1" applyBorder="1" applyAlignment="1" applyProtection="1">
      <alignment horizontal="center" vertical="center" wrapText="1"/>
      <protection locked="0"/>
    </xf>
    <xf numFmtId="167" fontId="28" fillId="0" borderId="54" xfId="0" applyNumberFormat="1" applyFont="1" applyBorder="1" applyAlignment="1" applyProtection="1">
      <alignment horizontal="center" vertical="center" wrapText="1"/>
      <protection locked="0"/>
    </xf>
    <xf numFmtId="0" fontId="14" fillId="0" borderId="0" xfId="0" applyFont="1" applyBorder="1" applyProtection="1">
      <protection locked="0"/>
    </xf>
    <xf numFmtId="0" fontId="1" fillId="0" borderId="8" xfId="0" applyFont="1" applyBorder="1" applyAlignment="1">
      <alignment vertical="center" wrapText="1"/>
    </xf>
    <xf numFmtId="0" fontId="19" fillId="0" borderId="93" xfId="0" applyFont="1" applyFill="1" applyBorder="1" applyAlignment="1">
      <alignment horizontal="center" wrapText="1"/>
    </xf>
    <xf numFmtId="0" fontId="19" fillId="0" borderId="75" xfId="0" applyFont="1" applyFill="1" applyBorder="1" applyAlignment="1">
      <alignment horizontal="center" wrapText="1"/>
    </xf>
    <xf numFmtId="0" fontId="5" fillId="0" borderId="51" xfId="0" applyFont="1" applyFill="1" applyBorder="1" applyAlignment="1" applyProtection="1">
      <alignment horizontal="left" vertical="center" wrapText="1"/>
      <protection locked="0"/>
    </xf>
    <xf numFmtId="0" fontId="5" fillId="0" borderId="43" xfId="0" applyFont="1" applyFill="1" applyBorder="1" applyAlignment="1" applyProtection="1">
      <alignment horizontal="left" vertical="center" wrapText="1"/>
      <protection locked="0"/>
    </xf>
    <xf numFmtId="0" fontId="19" fillId="0" borderId="83" xfId="0" applyFont="1" applyFill="1" applyBorder="1" applyAlignment="1">
      <alignment horizontal="center" wrapText="1"/>
    </xf>
    <xf numFmtId="0" fontId="5" fillId="0" borderId="84" xfId="0" applyFont="1" applyFill="1" applyBorder="1" applyAlignment="1" applyProtection="1">
      <alignment horizontal="left" vertical="center" wrapText="1"/>
      <protection locked="0"/>
    </xf>
    <xf numFmtId="167" fontId="28" fillId="0" borderId="131" xfId="0" applyNumberFormat="1" applyFont="1" applyBorder="1" applyAlignment="1" applyProtection="1">
      <alignment vertical="center" wrapText="1"/>
    </xf>
    <xf numFmtId="14" fontId="5" fillId="0" borderId="43" xfId="0" applyNumberFormat="1" applyFont="1" applyFill="1" applyBorder="1" applyAlignment="1" applyProtection="1">
      <alignment horizontal="left" vertical="center" wrapText="1"/>
      <protection locked="0"/>
    </xf>
    <xf numFmtId="0" fontId="56" fillId="0" borderId="0" xfId="0" applyFont="1" applyAlignment="1">
      <alignment vertical="center"/>
    </xf>
    <xf numFmtId="164" fontId="5" fillId="0" borderId="75" xfId="0" applyNumberFormat="1" applyFont="1" applyBorder="1" applyAlignment="1" applyProtection="1">
      <alignment horizontal="center" vertical="center" wrapText="1"/>
      <protection locked="0"/>
    </xf>
    <xf numFmtId="164" fontId="5" fillId="0" borderId="74" xfId="0" applyNumberFormat="1" applyFont="1" applyBorder="1" applyAlignment="1" applyProtection="1">
      <alignment horizontal="center" vertical="center" wrapText="1"/>
      <protection locked="0"/>
    </xf>
    <xf numFmtId="164" fontId="5" fillId="0" borderId="73" xfId="0" applyNumberFormat="1" applyFont="1" applyBorder="1" applyAlignment="1" applyProtection="1">
      <alignment horizontal="center" vertical="center" wrapText="1"/>
      <protection locked="0"/>
    </xf>
    <xf numFmtId="1" fontId="5" fillId="0" borderId="88" xfId="0" applyNumberFormat="1" applyFont="1" applyBorder="1" applyAlignment="1" applyProtection="1">
      <alignment horizontal="center" vertical="center"/>
      <protection locked="0"/>
    </xf>
    <xf numFmtId="0" fontId="5" fillId="0" borderId="63" xfId="0" applyFont="1" applyBorder="1" applyAlignment="1" applyProtection="1">
      <alignment horizontal="left" vertical="center" wrapText="1"/>
      <protection locked="0"/>
    </xf>
    <xf numFmtId="0" fontId="5" fillId="0" borderId="72" xfId="0" applyFont="1" applyBorder="1" applyAlignment="1" applyProtection="1">
      <alignment horizontal="center" vertical="center" wrapText="1"/>
      <protection locked="0"/>
    </xf>
    <xf numFmtId="0" fontId="38" fillId="0" borderId="72" xfId="0" applyFont="1" applyFill="1" applyBorder="1" applyAlignment="1" applyProtection="1">
      <alignment horizontal="center" wrapText="1"/>
    </xf>
    <xf numFmtId="0" fontId="5" fillId="0" borderId="64" xfId="0" applyFont="1" applyBorder="1" applyAlignment="1" applyProtection="1">
      <alignment horizontal="center" vertical="center" wrapText="1"/>
      <protection locked="0"/>
    </xf>
    <xf numFmtId="0" fontId="38" fillId="0" borderId="75" xfId="0" applyFont="1" applyFill="1" applyBorder="1" applyAlignment="1" applyProtection="1">
      <alignment horizontal="center" wrapText="1"/>
    </xf>
    <xf numFmtId="0" fontId="5" fillId="0" borderId="91" xfId="0" applyFont="1" applyBorder="1" applyAlignment="1" applyProtection="1">
      <alignment horizontal="left" vertical="center" wrapText="1"/>
      <protection locked="0"/>
    </xf>
    <xf numFmtId="0" fontId="5" fillId="0" borderId="92" xfId="0" applyFont="1" applyBorder="1" applyAlignment="1" applyProtection="1">
      <alignment horizontal="center" vertical="center" wrapText="1"/>
      <protection locked="0"/>
    </xf>
    <xf numFmtId="0" fontId="38" fillId="0" borderId="92" xfId="0" applyFont="1" applyFill="1" applyBorder="1" applyAlignment="1" applyProtection="1">
      <alignment horizontal="center" wrapText="1"/>
    </xf>
    <xf numFmtId="0" fontId="5" fillId="0" borderId="93" xfId="0" applyFont="1" applyBorder="1" applyAlignment="1" applyProtection="1">
      <alignment horizontal="center" vertical="center" wrapText="1"/>
      <protection locked="0"/>
    </xf>
    <xf numFmtId="0" fontId="5" fillId="0" borderId="42" xfId="0" applyFont="1" applyBorder="1" applyAlignment="1">
      <alignment horizontal="left" vertical="center" wrapText="1"/>
    </xf>
    <xf numFmtId="0" fontId="5" fillId="0" borderId="65" xfId="0" applyFont="1" applyBorder="1" applyAlignment="1">
      <alignment horizontal="left" vertical="center" wrapText="1"/>
    </xf>
    <xf numFmtId="0" fontId="6" fillId="4" borderId="10" xfId="0" applyFont="1" applyFill="1" applyBorder="1" applyAlignment="1">
      <alignment horizontal="center" vertical="center" wrapText="1"/>
    </xf>
    <xf numFmtId="0" fontId="34" fillId="0" borderId="0" xfId="0" applyFont="1" applyAlignment="1">
      <alignment vertical="center" wrapText="1"/>
    </xf>
    <xf numFmtId="0" fontId="58" fillId="4" borderId="76" xfId="0" applyFont="1" applyFill="1" applyBorder="1" applyAlignment="1">
      <alignment vertical="center" wrapText="1"/>
    </xf>
    <xf numFmtId="0" fontId="58" fillId="4" borderId="77" xfId="0" applyFont="1" applyFill="1" applyBorder="1" applyAlignment="1">
      <alignment horizontal="center" vertical="center" wrapText="1"/>
    </xf>
    <xf numFmtId="0" fontId="58" fillId="4" borderId="78" xfId="0" applyFont="1" applyFill="1" applyBorder="1" applyAlignment="1">
      <alignment horizontal="center" vertical="center" wrapText="1"/>
    </xf>
    <xf numFmtId="0" fontId="59" fillId="4" borderId="78" xfId="0" applyFont="1" applyFill="1" applyBorder="1" applyAlignment="1">
      <alignment horizontal="center" vertical="center"/>
    </xf>
    <xf numFmtId="0" fontId="58" fillId="4" borderId="77" xfId="0" applyFont="1" applyFill="1" applyBorder="1" applyAlignment="1">
      <alignment vertical="center" wrapText="1"/>
    </xf>
    <xf numFmtId="0" fontId="59" fillId="4" borderId="76" xfId="0" applyFont="1" applyFill="1" applyBorder="1" applyAlignment="1">
      <alignment vertical="center" wrapText="1"/>
    </xf>
    <xf numFmtId="0" fontId="58" fillId="4" borderId="10" xfId="0" applyFont="1" applyFill="1" applyBorder="1" applyAlignment="1">
      <alignment horizontal="center" vertical="center" wrapText="1"/>
    </xf>
    <xf numFmtId="0" fontId="58" fillId="4" borderId="12" xfId="0" applyFont="1" applyFill="1" applyBorder="1" applyAlignment="1">
      <alignment horizontal="center" vertical="center" wrapText="1"/>
    </xf>
    <xf numFmtId="0" fontId="59" fillId="4" borderId="110" xfId="3" applyFont="1" applyFill="1" applyBorder="1" applyAlignment="1">
      <alignment vertical="center" wrapText="1"/>
    </xf>
    <xf numFmtId="0" fontId="58" fillId="4" borderId="62" xfId="2" applyFont="1" applyFill="1" applyBorder="1" applyAlignment="1">
      <alignment horizontal="left" vertical="center"/>
    </xf>
    <xf numFmtId="0" fontId="59" fillId="4" borderId="76" xfId="3" applyFont="1" applyFill="1" applyBorder="1" applyAlignment="1">
      <alignment vertical="center" wrapText="1"/>
    </xf>
    <xf numFmtId="0" fontId="59" fillId="4" borderId="77" xfId="2" applyFont="1" applyFill="1" applyBorder="1" applyAlignment="1">
      <alignment horizontal="center" vertical="center" wrapText="1"/>
    </xf>
    <xf numFmtId="0" fontId="59" fillId="4" borderId="78" xfId="2" applyFont="1" applyFill="1" applyBorder="1" applyAlignment="1">
      <alignment horizontal="center" vertical="center" wrapText="1"/>
    </xf>
    <xf numFmtId="0" fontId="58" fillId="4" borderId="76" xfId="0" applyFont="1" applyFill="1" applyBorder="1" applyAlignment="1">
      <alignment horizontal="left" vertical="center" wrapText="1"/>
    </xf>
    <xf numFmtId="0" fontId="58" fillId="4" borderId="6" xfId="0" applyFont="1" applyFill="1" applyBorder="1" applyAlignment="1">
      <alignment horizontal="center" vertical="center" wrapText="1"/>
    </xf>
    <xf numFmtId="0" fontId="58" fillId="4" borderId="26" xfId="0" applyFont="1" applyFill="1" applyBorder="1" applyAlignment="1">
      <alignment horizontal="center" vertical="center" wrapText="1"/>
    </xf>
    <xf numFmtId="0" fontId="59" fillId="4" borderId="22" xfId="0" applyFont="1" applyFill="1" applyBorder="1" applyAlignment="1">
      <alignment vertical="center" wrapText="1"/>
    </xf>
    <xf numFmtId="0" fontId="58" fillId="4" borderId="133" xfId="0" applyFont="1" applyFill="1" applyBorder="1" applyAlignment="1">
      <alignment horizontal="left" vertical="center" wrapText="1" indent="10"/>
    </xf>
    <xf numFmtId="0" fontId="58" fillId="4" borderId="134" xfId="0" applyFont="1" applyFill="1" applyBorder="1" applyAlignment="1">
      <alignment horizontal="center" vertical="center" wrapText="1"/>
    </xf>
    <xf numFmtId="0" fontId="58" fillId="4" borderId="77" xfId="0" applyFont="1" applyFill="1" applyBorder="1" applyAlignment="1">
      <alignment horizontal="left" vertical="center" wrapText="1" indent="10"/>
    </xf>
    <xf numFmtId="0" fontId="58" fillId="4" borderId="71" xfId="0" applyFont="1" applyFill="1" applyBorder="1" applyAlignment="1">
      <alignment horizontal="left" vertical="center"/>
    </xf>
    <xf numFmtId="0" fontId="58" fillId="4" borderId="62" xfId="0" applyFont="1" applyFill="1" applyBorder="1" applyAlignment="1">
      <alignment horizontal="center" vertical="center" wrapText="1"/>
    </xf>
    <xf numFmtId="0" fontId="58" fillId="4" borderId="62" xfId="0" applyFont="1" applyFill="1" applyBorder="1" applyAlignment="1">
      <alignment vertical="center" wrapText="1"/>
    </xf>
    <xf numFmtId="0" fontId="58" fillId="4" borderId="76" xfId="0" applyFont="1" applyFill="1" applyBorder="1" applyAlignment="1">
      <alignment horizontal="center" vertical="center" wrapText="1"/>
    </xf>
    <xf numFmtId="0" fontId="58" fillId="4" borderId="78" xfId="0" applyFont="1" applyFill="1" applyBorder="1" applyAlignment="1">
      <alignment horizontal="left" vertical="center" wrapText="1"/>
    </xf>
    <xf numFmtId="0" fontId="59" fillId="4" borderId="77" xfId="0" applyFont="1" applyFill="1" applyBorder="1" applyAlignment="1">
      <alignment horizontal="center" vertical="center" wrapText="1"/>
    </xf>
    <xf numFmtId="0" fontId="59" fillId="4" borderId="78" xfId="0" applyFont="1" applyFill="1" applyBorder="1" applyAlignment="1">
      <alignment horizontal="center" vertical="center" wrapText="1"/>
    </xf>
    <xf numFmtId="0" fontId="59" fillId="4" borderId="76" xfId="0" applyFont="1" applyFill="1" applyBorder="1" applyAlignment="1">
      <alignment horizontal="left" vertical="center" wrapText="1"/>
    </xf>
    <xf numFmtId="167" fontId="28" fillId="0" borderId="51" xfId="0" applyNumberFormat="1" applyFont="1" applyBorder="1" applyAlignment="1" applyProtection="1">
      <alignment horizontal="center" vertical="center" wrapText="1"/>
      <protection locked="0"/>
    </xf>
    <xf numFmtId="0" fontId="28" fillId="0" borderId="85" xfId="0" applyFont="1" applyBorder="1" applyAlignment="1">
      <alignment horizontal="center" vertical="center" wrapText="1"/>
    </xf>
    <xf numFmtId="164" fontId="28" fillId="0" borderId="60" xfId="0" applyNumberFormat="1" applyFont="1" applyBorder="1" applyAlignment="1">
      <alignment horizontal="center" vertical="center" wrapText="1"/>
    </xf>
    <xf numFmtId="0" fontId="10" fillId="0" borderId="85" xfId="0" applyFont="1" applyBorder="1" applyAlignment="1">
      <alignment horizontal="left" vertical="center" wrapText="1"/>
    </xf>
    <xf numFmtId="0" fontId="5" fillId="0" borderId="43" xfId="0" applyFont="1" applyBorder="1" applyAlignment="1">
      <alignment horizontal="left" vertical="center" wrapText="1"/>
    </xf>
    <xf numFmtId="0" fontId="59" fillId="4" borderId="63" xfId="0" applyFont="1" applyFill="1" applyBorder="1" applyAlignment="1">
      <alignment horizontal="centerContinuous" vertical="center"/>
    </xf>
    <xf numFmtId="0" fontId="59" fillId="4" borderId="64" xfId="0" applyFont="1" applyFill="1" applyBorder="1" applyAlignment="1">
      <alignment horizontal="centerContinuous" vertical="center"/>
    </xf>
    <xf numFmtId="0" fontId="6" fillId="0" borderId="42" xfId="0" applyFont="1" applyBorder="1" applyAlignment="1">
      <alignment horizontal="left" vertical="center"/>
    </xf>
    <xf numFmtId="0" fontId="5" fillId="0" borderId="43" xfId="0" applyFont="1" applyBorder="1" applyAlignment="1">
      <alignment horizontal="left" vertical="center"/>
    </xf>
    <xf numFmtId="0" fontId="5" fillId="0" borderId="66" xfId="0" applyFont="1" applyBorder="1" applyAlignment="1">
      <alignment horizontal="left" vertical="center" wrapText="1"/>
    </xf>
    <xf numFmtId="0" fontId="28" fillId="0" borderId="65" xfId="0" applyFont="1" applyFill="1" applyBorder="1" applyAlignment="1">
      <alignment vertical="center" wrapText="1"/>
    </xf>
    <xf numFmtId="0" fontId="5" fillId="0" borderId="95" xfId="0" applyFont="1" applyFill="1" applyBorder="1" applyAlignment="1">
      <alignment horizontal="left" vertical="center" wrapText="1"/>
    </xf>
    <xf numFmtId="0" fontId="5" fillId="0" borderId="63" xfId="0" applyFont="1" applyFill="1" applyBorder="1" applyAlignment="1">
      <alignment vertical="center" wrapText="1"/>
    </xf>
    <xf numFmtId="0" fontId="19" fillId="0" borderId="102" xfId="0" applyFont="1" applyBorder="1" applyAlignment="1">
      <alignment horizontal="center" wrapText="1"/>
    </xf>
    <xf numFmtId="0" fontId="19" fillId="0" borderId="96" xfId="0" applyFont="1" applyBorder="1" applyAlignment="1">
      <alignment horizontal="center" wrapText="1"/>
    </xf>
    <xf numFmtId="0" fontId="19" fillId="0" borderId="99" xfId="0" applyFont="1" applyBorder="1" applyAlignment="1">
      <alignment horizontal="center" wrapText="1"/>
    </xf>
    <xf numFmtId="0" fontId="28" fillId="0" borderId="51" xfId="0" applyFont="1" applyBorder="1" applyAlignment="1" applyProtection="1">
      <alignment horizontal="left" vertical="center"/>
      <protection locked="0"/>
    </xf>
    <xf numFmtId="0" fontId="9" fillId="5" borderId="20" xfId="0" applyFont="1" applyFill="1" applyBorder="1" applyAlignment="1">
      <alignment horizontal="center" vertical="center" wrapText="1"/>
    </xf>
    <xf numFmtId="0" fontId="9" fillId="5" borderId="0" xfId="0" applyFont="1" applyFill="1" applyBorder="1" applyAlignment="1">
      <alignment horizontal="center" vertical="center" wrapText="1"/>
    </xf>
    <xf numFmtId="0" fontId="49" fillId="12" borderId="136" xfId="1" applyFont="1" applyFill="1" applyBorder="1" applyAlignment="1">
      <alignment horizontal="center" vertical="center"/>
    </xf>
    <xf numFmtId="0" fontId="49" fillId="12" borderId="138" xfId="1" applyFont="1" applyFill="1" applyBorder="1" applyAlignment="1">
      <alignment horizontal="center" vertical="center"/>
    </xf>
    <xf numFmtId="0" fontId="49" fillId="12" borderId="13" xfId="1" applyFont="1" applyFill="1" applyBorder="1" applyAlignment="1">
      <alignment horizontal="center" vertical="center"/>
    </xf>
    <xf numFmtId="0" fontId="46" fillId="11" borderId="138" xfId="1" applyFont="1" applyFill="1" applyBorder="1" applyAlignment="1">
      <alignment horizontal="center" vertical="center"/>
    </xf>
    <xf numFmtId="0" fontId="30" fillId="0" borderId="110" xfId="0" applyFont="1" applyBorder="1" applyAlignment="1">
      <alignment horizontal="left" vertical="center" wrapText="1"/>
    </xf>
    <xf numFmtId="0" fontId="30" fillId="0" borderId="8" xfId="0" applyFont="1" applyBorder="1" applyAlignment="1">
      <alignment horizontal="left" vertical="center" wrapText="1"/>
    </xf>
    <xf numFmtId="0" fontId="30" fillId="0" borderId="11" xfId="0" applyFont="1" applyBorder="1" applyAlignment="1">
      <alignment horizontal="left" vertical="center" wrapText="1"/>
    </xf>
    <xf numFmtId="0" fontId="30" fillId="0" borderId="71" xfId="0" applyFont="1" applyBorder="1" applyAlignment="1">
      <alignment horizontal="left" vertical="center" wrapText="1"/>
    </xf>
    <xf numFmtId="0" fontId="30" fillId="0" borderId="0" xfId="0" applyFont="1" applyBorder="1" applyAlignment="1">
      <alignment horizontal="left" vertical="center" wrapText="1"/>
    </xf>
    <xf numFmtId="0" fontId="30" fillId="0" borderId="111" xfId="0" applyFont="1" applyBorder="1" applyAlignment="1">
      <alignment horizontal="left" vertical="center" wrapText="1"/>
    </xf>
    <xf numFmtId="0" fontId="30" fillId="0" borderId="62" xfId="0" applyFont="1" applyBorder="1" applyAlignment="1">
      <alignment horizontal="left" vertical="center" wrapText="1"/>
    </xf>
    <xf numFmtId="0" fontId="30" fillId="0" borderId="10" xfId="0" applyFont="1" applyBorder="1" applyAlignment="1">
      <alignment horizontal="left" vertical="center" wrapText="1"/>
    </xf>
    <xf numFmtId="0" fontId="30" fillId="0" borderId="12" xfId="0" applyFont="1" applyBorder="1" applyAlignment="1">
      <alignment horizontal="left" vertical="center" wrapText="1"/>
    </xf>
    <xf numFmtId="0" fontId="57" fillId="2" borderId="104" xfId="0" applyFont="1" applyFill="1" applyBorder="1" applyAlignment="1">
      <alignment horizontal="center" vertical="center"/>
    </xf>
    <xf numFmtId="0" fontId="57" fillId="2" borderId="106" xfId="0" applyFont="1" applyFill="1" applyBorder="1" applyAlignment="1">
      <alignment horizontal="center" vertical="center"/>
    </xf>
    <xf numFmtId="0" fontId="6" fillId="0" borderId="76" xfId="0" applyFont="1" applyBorder="1" applyAlignment="1">
      <alignment horizontal="left" vertical="center" wrapText="1"/>
    </xf>
    <xf numFmtId="0" fontId="6" fillId="0" borderId="78" xfId="0" applyFont="1" applyBorder="1" applyAlignment="1">
      <alignment horizontal="left" vertical="center" wrapText="1"/>
    </xf>
    <xf numFmtId="0" fontId="59" fillId="4" borderId="79" xfId="3" applyFont="1" applyFill="1" applyBorder="1" applyAlignment="1">
      <alignment horizontal="left" vertical="center" wrapText="1"/>
    </xf>
    <xf numFmtId="0" fontId="59" fillId="4" borderId="120" xfId="3" applyFont="1" applyFill="1" applyBorder="1" applyAlignment="1">
      <alignment horizontal="left" vertical="center" wrapText="1"/>
    </xf>
    <xf numFmtId="0" fontId="58" fillId="4" borderId="91" xfId="2" applyFont="1" applyFill="1" applyBorder="1" applyAlignment="1">
      <alignment horizontal="left" vertical="center" wrapText="1"/>
    </xf>
    <xf numFmtId="0" fontId="58" fillId="4" borderId="93" xfId="2" applyFont="1" applyFill="1" applyBorder="1" applyAlignment="1">
      <alignment horizontal="left" vertical="center" wrapText="1"/>
    </xf>
    <xf numFmtId="0" fontId="58" fillId="4" borderId="79" xfId="2" applyFont="1" applyFill="1" applyBorder="1" applyAlignment="1">
      <alignment vertical="center" wrapText="1"/>
    </xf>
    <xf numFmtId="0" fontId="58" fillId="4" borderId="120" xfId="2" applyFont="1" applyFill="1" applyBorder="1" applyAlignment="1">
      <alignment vertical="center" wrapText="1"/>
    </xf>
    <xf numFmtId="0" fontId="58" fillId="4" borderId="79" xfId="2" applyFont="1" applyFill="1" applyBorder="1" applyAlignment="1">
      <alignment horizontal="left" vertical="center" wrapText="1"/>
    </xf>
    <xf numFmtId="0" fontId="58" fillId="4" borderId="120" xfId="2" applyFont="1" applyFill="1" applyBorder="1" applyAlignment="1">
      <alignment horizontal="left" vertical="center" wrapText="1"/>
    </xf>
    <xf numFmtId="0" fontId="59" fillId="4" borderId="79" xfId="0" applyFont="1" applyFill="1" applyBorder="1" applyAlignment="1">
      <alignment horizontal="left" vertical="center"/>
    </xf>
    <xf numFmtId="0" fontId="59" fillId="4" borderId="120" xfId="0" applyFont="1" applyFill="1" applyBorder="1" applyAlignment="1">
      <alignment horizontal="left" vertical="center"/>
    </xf>
    <xf numFmtId="0" fontId="59" fillId="4" borderId="48" xfId="3" applyFont="1" applyFill="1" applyBorder="1" applyAlignment="1">
      <alignment horizontal="left" vertical="center" wrapText="1"/>
    </xf>
    <xf numFmtId="0" fontId="59" fillId="4" borderId="49" xfId="3" applyFont="1" applyFill="1" applyBorder="1" applyAlignment="1">
      <alignment horizontal="left" vertical="center" wrapText="1"/>
    </xf>
    <xf numFmtId="0" fontId="59" fillId="4" borderId="136" xfId="0" applyFont="1" applyFill="1" applyBorder="1" applyAlignment="1">
      <alignment horizontal="left" vertical="center"/>
    </xf>
    <xf numFmtId="0" fontId="59" fillId="4" borderId="13" xfId="0" applyFont="1" applyFill="1" applyBorder="1" applyAlignment="1">
      <alignment horizontal="left" vertical="center"/>
    </xf>
    <xf numFmtId="0" fontId="59" fillId="4" borderId="79" xfId="2" applyFont="1" applyFill="1" applyBorder="1" applyAlignment="1">
      <alignment horizontal="left" vertical="center"/>
    </xf>
    <xf numFmtId="0" fontId="60" fillId="4" borderId="120" xfId="0" applyFont="1" applyFill="1" applyBorder="1" applyAlignment="1">
      <alignment horizontal="left" vertical="center"/>
    </xf>
    <xf numFmtId="0" fontId="5" fillId="0" borderId="74" xfId="0" applyFont="1" applyBorder="1" applyAlignment="1" applyProtection="1">
      <alignment horizontal="left" vertical="center" wrapText="1"/>
      <protection locked="0"/>
    </xf>
    <xf numFmtId="0" fontId="0" fillId="0" borderId="43" xfId="0" applyFont="1" applyBorder="1" applyAlignment="1" applyProtection="1">
      <alignment horizontal="left" vertical="center" wrapText="1"/>
      <protection locked="0"/>
    </xf>
    <xf numFmtId="0" fontId="5" fillId="0" borderId="42" xfId="0" applyFont="1" applyBorder="1" applyAlignment="1">
      <alignment horizontal="left" vertical="center" wrapText="1"/>
    </xf>
    <xf numFmtId="0" fontId="5" fillId="0" borderId="74" xfId="0" applyFont="1" applyBorder="1" applyAlignment="1">
      <alignment horizontal="left" vertical="center" wrapText="1"/>
    </xf>
    <xf numFmtId="0" fontId="58" fillId="4" borderId="85" xfId="0" applyFont="1" applyFill="1" applyBorder="1" applyAlignment="1">
      <alignment horizontal="center" vertical="center" wrapText="1"/>
    </xf>
    <xf numFmtId="0" fontId="58" fillId="4" borderId="90" xfId="0" applyFont="1" applyFill="1" applyBorder="1" applyAlignment="1">
      <alignment horizontal="center" vertical="center" wrapText="1"/>
    </xf>
    <xf numFmtId="0" fontId="58" fillId="4" borderId="61" xfId="0" applyFont="1" applyFill="1" applyBorder="1" applyAlignment="1">
      <alignment vertical="center" wrapText="1"/>
    </xf>
    <xf numFmtId="0" fontId="58" fillId="4" borderId="55" xfId="0" applyFont="1" applyFill="1" applyBorder="1" applyAlignment="1">
      <alignment vertical="center" wrapText="1"/>
    </xf>
    <xf numFmtId="0" fontId="5" fillId="0" borderId="72" xfId="0" applyFont="1" applyBorder="1" applyAlignment="1">
      <alignment horizontal="left" vertical="center" wrapText="1"/>
    </xf>
    <xf numFmtId="0" fontId="5" fillId="0" borderId="64" xfId="0" applyFont="1" applyBorder="1" applyAlignment="1">
      <alignment horizontal="left" vertical="center" wrapText="1"/>
    </xf>
    <xf numFmtId="0" fontId="5" fillId="0" borderId="43" xfId="0" applyFont="1" applyBorder="1" applyAlignment="1">
      <alignment horizontal="left" vertical="center" wrapText="1"/>
    </xf>
    <xf numFmtId="0" fontId="10" fillId="0" borderId="63" xfId="0" applyFont="1" applyBorder="1" applyAlignment="1">
      <alignment horizontal="left" vertical="center" wrapText="1"/>
    </xf>
    <xf numFmtId="0" fontId="10" fillId="0" borderId="72" xfId="0" applyFont="1" applyBorder="1" applyAlignment="1">
      <alignment horizontal="left" vertical="center" wrapText="1"/>
    </xf>
    <xf numFmtId="0" fontId="10" fillId="0" borderId="64" xfId="0" applyFont="1" applyBorder="1" applyAlignment="1">
      <alignment horizontal="left" vertical="center" wrapText="1"/>
    </xf>
    <xf numFmtId="0" fontId="5" fillId="0" borderId="55" xfId="0" applyFont="1" applyBorder="1" applyAlignment="1">
      <alignment horizontal="left" vertical="center" wrapText="1"/>
    </xf>
    <xf numFmtId="0" fontId="5" fillId="0" borderId="90" xfId="0" applyFont="1" applyBorder="1" applyAlignment="1">
      <alignment horizontal="left" vertical="center" wrapText="1"/>
    </xf>
    <xf numFmtId="0" fontId="5" fillId="0" borderId="131" xfId="0" applyFont="1" applyBorder="1" applyAlignment="1">
      <alignment horizontal="left" vertical="center" wrapText="1"/>
    </xf>
    <xf numFmtId="0" fontId="10" fillId="0" borderId="61" xfId="0" applyFont="1" applyFill="1" applyBorder="1" applyAlignment="1">
      <alignment horizontal="left" vertical="center" wrapText="1"/>
    </xf>
    <xf numFmtId="0" fontId="10" fillId="0" borderId="85" xfId="0" applyFont="1" applyFill="1" applyBorder="1" applyAlignment="1">
      <alignment horizontal="left" vertical="center" wrapText="1"/>
    </xf>
    <xf numFmtId="0" fontId="10" fillId="0" borderId="130" xfId="0" applyFont="1" applyFill="1" applyBorder="1" applyAlignment="1">
      <alignment horizontal="left" vertical="center" wrapText="1"/>
    </xf>
    <xf numFmtId="0" fontId="59" fillId="4" borderId="80" xfId="0" applyFont="1" applyFill="1" applyBorder="1" applyAlignment="1">
      <alignment horizontal="left" vertical="center"/>
    </xf>
    <xf numFmtId="0" fontId="59" fillId="4" borderId="81" xfId="0" applyFont="1" applyFill="1" applyBorder="1" applyAlignment="1">
      <alignment horizontal="left" vertical="center"/>
    </xf>
    <xf numFmtId="0" fontId="5" fillId="0" borderId="50" xfId="0" applyFont="1" applyBorder="1" applyAlignment="1">
      <alignment horizontal="left" vertical="center" wrapText="1"/>
    </xf>
    <xf numFmtId="0" fontId="5" fillId="0" borderId="75" xfId="0" applyFont="1" applyBorder="1" applyAlignment="1">
      <alignment horizontal="left" vertical="center"/>
    </xf>
    <xf numFmtId="0" fontId="5" fillId="0" borderId="65" xfId="0" applyFont="1" applyBorder="1" applyAlignment="1">
      <alignment horizontal="left" vertical="top" wrapText="1"/>
    </xf>
    <xf numFmtId="0" fontId="5" fillId="0" borderId="73" xfId="0" applyFont="1" applyBorder="1" applyAlignment="1">
      <alignment horizontal="left" vertical="top" wrapText="1"/>
    </xf>
    <xf numFmtId="0" fontId="5" fillId="0" borderId="66" xfId="0" applyFont="1" applyBorder="1" applyAlignment="1">
      <alignment horizontal="left" vertical="top" wrapText="1"/>
    </xf>
    <xf numFmtId="0" fontId="7" fillId="4" borderId="0" xfId="0" applyFont="1" applyFill="1" applyAlignment="1">
      <alignment horizontal="center" vertical="center" wrapText="1"/>
    </xf>
    <xf numFmtId="0" fontId="6" fillId="4" borderId="38" xfId="0" applyFont="1" applyFill="1" applyBorder="1" applyAlignment="1">
      <alignment vertical="center" wrapText="1"/>
    </xf>
    <xf numFmtId="0" fontId="6" fillId="4" borderId="33" xfId="0" applyFont="1" applyFill="1" applyBorder="1" applyAlignment="1">
      <alignment vertical="center" wrapText="1"/>
    </xf>
    <xf numFmtId="0" fontId="6" fillId="4" borderId="37" xfId="0" applyFont="1" applyFill="1" applyBorder="1" applyAlignment="1">
      <alignment horizontal="center" vertical="center" wrapText="1"/>
    </xf>
    <xf numFmtId="0" fontId="6" fillId="4" borderId="34" xfId="0" applyFont="1" applyFill="1" applyBorder="1" applyAlignment="1">
      <alignment horizontal="center" vertical="center" wrapText="1"/>
    </xf>
    <xf numFmtId="0" fontId="6" fillId="4" borderId="40" xfId="0" applyFont="1" applyFill="1" applyBorder="1" applyAlignment="1">
      <alignment horizontal="center" vertical="center" wrapText="1"/>
    </xf>
    <xf numFmtId="0" fontId="6" fillId="4" borderId="36" xfId="0" applyFont="1" applyFill="1" applyBorder="1" applyAlignment="1">
      <alignment horizontal="center" vertical="center" wrapText="1"/>
    </xf>
    <xf numFmtId="0" fontId="34" fillId="0" borderId="0" xfId="0" applyFont="1" applyBorder="1" applyAlignment="1">
      <alignment horizontal="center" vertical="center" wrapText="1"/>
    </xf>
    <xf numFmtId="0" fontId="58" fillId="4" borderId="89" xfId="0" applyFont="1" applyFill="1" applyBorder="1" applyAlignment="1">
      <alignment horizontal="center" vertical="center" wrapText="1"/>
    </xf>
    <xf numFmtId="0" fontId="58" fillId="4" borderId="49" xfId="0" applyFont="1" applyFill="1" applyBorder="1" applyAlignment="1">
      <alignment horizontal="center" vertical="center" wrapText="1"/>
    </xf>
    <xf numFmtId="0" fontId="39" fillId="0" borderId="0" xfId="0" applyFont="1" applyBorder="1" applyAlignment="1" applyProtection="1">
      <alignment horizontal="left" vertical="center" wrapText="1"/>
    </xf>
    <xf numFmtId="0" fontId="5" fillId="0" borderId="82" xfId="0" applyFont="1" applyBorder="1" applyAlignment="1">
      <alignment horizontal="left" vertical="center" wrapText="1"/>
    </xf>
    <xf numFmtId="0" fontId="5" fillId="0" borderId="83" xfId="0" applyFont="1" applyBorder="1" applyAlignment="1">
      <alignment horizontal="left" vertical="center" wrapText="1"/>
    </xf>
    <xf numFmtId="0" fontId="5" fillId="0" borderId="84" xfId="0" applyFont="1" applyBorder="1" applyAlignment="1">
      <alignment horizontal="left" vertical="center" wrapText="1"/>
    </xf>
    <xf numFmtId="0" fontId="5" fillId="0" borderId="75" xfId="0" applyFont="1" applyBorder="1" applyAlignment="1">
      <alignment horizontal="left" vertical="center" wrapText="1"/>
    </xf>
    <xf numFmtId="0" fontId="5" fillId="0" borderId="86" xfId="0" applyFont="1" applyBorder="1" applyAlignment="1">
      <alignment horizontal="left" vertical="center" wrapText="1"/>
    </xf>
    <xf numFmtId="0" fontId="5" fillId="0" borderId="87" xfId="0" applyFont="1" applyBorder="1" applyAlignment="1">
      <alignment horizontal="left" vertical="center" wrapText="1"/>
    </xf>
    <xf numFmtId="0" fontId="28" fillId="0" borderId="142" xfId="0" applyFont="1" applyBorder="1" applyAlignment="1" applyProtection="1">
      <alignment horizontal="center" vertical="center" wrapText="1"/>
      <protection locked="0"/>
    </xf>
    <xf numFmtId="0" fontId="28" fillId="0" borderId="52" xfId="0" applyFont="1" applyBorder="1" applyAlignment="1" applyProtection="1">
      <alignment horizontal="center" vertical="center" wrapText="1"/>
      <protection locked="0"/>
    </xf>
    <xf numFmtId="167" fontId="28" fillId="0" borderId="141" xfId="0" applyNumberFormat="1" applyFont="1" applyBorder="1" applyAlignment="1" applyProtection="1">
      <alignment horizontal="center" vertical="center" wrapText="1"/>
      <protection locked="0"/>
    </xf>
    <xf numFmtId="167" fontId="28" fillId="0" borderId="54" xfId="0" applyNumberFormat="1" applyFont="1" applyBorder="1" applyAlignment="1" applyProtection="1">
      <alignment horizontal="center" vertical="center" wrapText="1"/>
      <protection locked="0"/>
    </xf>
    <xf numFmtId="0" fontId="19" fillId="0" borderId="142" xfId="0" applyFont="1" applyFill="1" applyBorder="1" applyAlignment="1">
      <alignment horizontal="center" wrapText="1"/>
    </xf>
    <xf numFmtId="0" fontId="19" fillId="0" borderId="52" xfId="0" applyFont="1" applyFill="1" applyBorder="1" applyAlignment="1">
      <alignment horizontal="center" wrapText="1"/>
    </xf>
    <xf numFmtId="0" fontId="28" fillId="0" borderId="143" xfId="0" applyFont="1" applyBorder="1" applyAlignment="1">
      <alignment horizontal="center" vertical="center" wrapText="1"/>
    </xf>
    <xf numFmtId="0" fontId="28" fillId="0" borderId="60" xfId="0" applyFont="1" applyBorder="1" applyAlignment="1">
      <alignment horizontal="center" vertical="center" wrapText="1"/>
    </xf>
    <xf numFmtId="0" fontId="28" fillId="0" borderId="91" xfId="0" applyFont="1" applyFill="1" applyBorder="1" applyAlignment="1">
      <alignment horizontal="left" vertical="center" wrapText="1"/>
    </xf>
    <xf numFmtId="0" fontId="28" fillId="0" borderId="92" xfId="0" applyFont="1" applyFill="1" applyBorder="1" applyAlignment="1">
      <alignment horizontal="left" vertical="center" wrapText="1"/>
    </xf>
    <xf numFmtId="0" fontId="19" fillId="0" borderId="92" xfId="0" applyFont="1" applyBorder="1" applyAlignment="1">
      <alignment horizontal="center" wrapText="1"/>
    </xf>
    <xf numFmtId="0" fontId="19" fillId="0" borderId="93" xfId="0" applyFont="1" applyBorder="1" applyAlignment="1">
      <alignment horizontal="center" wrapText="1"/>
    </xf>
    <xf numFmtId="0" fontId="5" fillId="0" borderId="53" xfId="0" applyFont="1" applyBorder="1" applyAlignment="1">
      <alignment horizontal="left" vertical="center" wrapText="1"/>
    </xf>
    <xf numFmtId="0" fontId="5" fillId="0" borderId="94" xfId="0" applyFont="1" applyBorder="1" applyAlignment="1">
      <alignment horizontal="left" vertical="center" wrapText="1"/>
    </xf>
    <xf numFmtId="0" fontId="5" fillId="0" borderId="132" xfId="0" applyFont="1" applyBorder="1" applyAlignment="1">
      <alignment horizontal="left" vertical="center" wrapText="1"/>
    </xf>
    <xf numFmtId="0" fontId="20" fillId="0" borderId="141" xfId="0" applyFont="1" applyFill="1" applyBorder="1" applyAlignment="1">
      <alignment horizontal="center" wrapText="1"/>
    </xf>
    <xf numFmtId="0" fontId="20" fillId="0" borderId="54" xfId="0" applyFont="1" applyFill="1" applyBorder="1" applyAlignment="1">
      <alignment horizontal="center" wrapText="1"/>
    </xf>
    <xf numFmtId="0" fontId="22" fillId="0" borderId="0" xfId="0" applyFont="1" applyBorder="1" applyAlignment="1">
      <alignment horizontal="left" vertical="center" indent="3"/>
    </xf>
    <xf numFmtId="0" fontId="59" fillId="4" borderId="110" xfId="0" applyFont="1" applyFill="1" applyBorder="1" applyAlignment="1">
      <alignment horizontal="left" vertical="center"/>
    </xf>
    <xf numFmtId="0" fontId="59" fillId="4" borderId="8" xfId="0" applyFont="1" applyFill="1" applyBorder="1" applyAlignment="1">
      <alignment horizontal="left" vertical="center"/>
    </xf>
    <xf numFmtId="0" fontId="59" fillId="4" borderId="11" xfId="0" applyFont="1" applyFill="1" applyBorder="1" applyAlignment="1">
      <alignment horizontal="left" vertical="center"/>
    </xf>
    <xf numFmtId="0" fontId="28" fillId="0" borderId="53" xfId="0" applyFont="1" applyBorder="1" applyAlignment="1">
      <alignment horizontal="left" vertical="center" wrapText="1"/>
    </xf>
    <xf numFmtId="0" fontId="28" fillId="0" borderId="94" xfId="0" applyFont="1" applyBorder="1" applyAlignment="1">
      <alignment horizontal="left" vertical="center" wrapText="1"/>
    </xf>
    <xf numFmtId="0" fontId="28" fillId="0" borderId="52" xfId="0" applyFont="1" applyBorder="1" applyAlignment="1">
      <alignment horizontal="left" vertical="center" wrapText="1"/>
    </xf>
    <xf numFmtId="0" fontId="59" fillId="4" borderId="79" xfId="0" applyFont="1" applyFill="1" applyBorder="1" applyAlignment="1">
      <alignment horizontal="left" vertical="center" wrapText="1"/>
    </xf>
    <xf numFmtId="0" fontId="59" fillId="4" borderId="120" xfId="0" applyFont="1" applyFill="1" applyBorder="1" applyAlignment="1">
      <alignment horizontal="left" vertical="center" wrapText="1"/>
    </xf>
    <xf numFmtId="0" fontId="22" fillId="0" borderId="71" xfId="0" applyFont="1" applyBorder="1" applyAlignment="1">
      <alignment horizontal="left" vertical="center" indent="3"/>
    </xf>
    <xf numFmtId="0" fontId="28" fillId="3" borderId="42" xfId="0" applyFont="1" applyFill="1" applyBorder="1" applyAlignment="1" applyProtection="1">
      <alignment horizontal="left" vertical="center" wrapText="1"/>
      <protection locked="0"/>
    </xf>
    <xf numFmtId="0" fontId="28" fillId="3" borderId="43" xfId="0" applyFont="1" applyFill="1" applyBorder="1" applyAlignment="1" applyProtection="1">
      <alignment horizontal="left" vertical="center" wrapText="1"/>
      <protection locked="0"/>
    </xf>
    <xf numFmtId="0" fontId="28" fillId="3" borderId="65" xfId="0" applyFont="1" applyFill="1" applyBorder="1" applyAlignment="1" applyProtection="1">
      <alignment horizontal="left" vertical="center" wrapText="1"/>
      <protection locked="0"/>
    </xf>
    <xf numFmtId="0" fontId="28" fillId="3" borderId="66" xfId="0" applyFont="1" applyFill="1" applyBorder="1" applyAlignment="1" applyProtection="1">
      <alignment horizontal="left" vertical="center" wrapText="1"/>
      <protection locked="0"/>
    </xf>
    <xf numFmtId="0" fontId="5" fillId="0" borderId="110" xfId="0" applyFont="1" applyFill="1" applyBorder="1" applyAlignment="1" applyProtection="1">
      <alignment horizontal="left" vertical="center" wrapText="1"/>
      <protection locked="0"/>
    </xf>
    <xf numFmtId="0" fontId="5" fillId="0" borderId="11" xfId="0" applyFont="1" applyFill="1" applyBorder="1" applyAlignment="1" applyProtection="1">
      <alignment horizontal="left" vertical="center" wrapText="1"/>
      <protection locked="0"/>
    </xf>
    <xf numFmtId="0" fontId="5" fillId="0" borderId="71" xfId="0" applyFont="1" applyFill="1" applyBorder="1" applyAlignment="1" applyProtection="1">
      <alignment horizontal="left" vertical="center" wrapText="1"/>
      <protection locked="0"/>
    </xf>
    <xf numFmtId="0" fontId="5" fillId="0" borderId="111" xfId="0" applyFont="1" applyFill="1" applyBorder="1" applyAlignment="1" applyProtection="1">
      <alignment horizontal="left" vertical="center" wrapText="1"/>
      <protection locked="0"/>
    </xf>
    <xf numFmtId="0" fontId="5" fillId="0" borderId="62" xfId="0" applyFont="1" applyFill="1" applyBorder="1" applyAlignment="1" applyProtection="1">
      <alignment horizontal="left" vertical="center" wrapText="1"/>
      <protection locked="0"/>
    </xf>
    <xf numFmtId="0" fontId="5" fillId="0" borderId="12" xfId="0" applyFont="1" applyFill="1" applyBorder="1" applyAlignment="1" applyProtection="1">
      <alignment horizontal="left" vertical="center" wrapText="1"/>
      <protection locked="0"/>
    </xf>
    <xf numFmtId="0" fontId="10" fillId="0" borderId="0" xfId="0" applyFont="1" applyBorder="1" applyAlignment="1">
      <alignment horizontal="left"/>
    </xf>
    <xf numFmtId="0" fontId="58" fillId="4" borderId="71" xfId="0" applyFont="1" applyFill="1" applyBorder="1" applyAlignment="1">
      <alignment horizontal="left" vertical="center" wrapText="1"/>
    </xf>
    <xf numFmtId="0" fontId="58" fillId="4" borderId="0" xfId="0" applyFont="1" applyFill="1" applyBorder="1" applyAlignment="1">
      <alignment horizontal="left" vertical="center" wrapText="1"/>
    </xf>
    <xf numFmtId="0" fontId="58" fillId="4" borderId="111" xfId="0" applyFont="1" applyFill="1" applyBorder="1" applyAlignment="1">
      <alignment horizontal="left" vertical="center" wrapText="1"/>
    </xf>
    <xf numFmtId="0" fontId="5" fillId="0" borderId="110" xfId="0" applyFont="1" applyFill="1" applyBorder="1" applyAlignment="1" applyProtection="1">
      <alignment horizontal="left" vertical="center"/>
      <protection locked="0"/>
    </xf>
    <xf numFmtId="0" fontId="5" fillId="0" borderId="8" xfId="0" applyFont="1" applyFill="1" applyBorder="1" applyAlignment="1" applyProtection="1">
      <alignment horizontal="left" vertical="center"/>
      <protection locked="0"/>
    </xf>
    <xf numFmtId="0" fontId="5" fillId="0" borderId="11" xfId="0" applyFont="1" applyFill="1" applyBorder="1" applyAlignment="1" applyProtection="1">
      <alignment horizontal="left" vertical="center"/>
      <protection locked="0"/>
    </xf>
    <xf numFmtId="0" fontId="5" fillId="0" borderId="71"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protection locked="0"/>
    </xf>
    <xf numFmtId="0" fontId="5" fillId="0" borderId="111" xfId="0" applyFont="1" applyFill="1" applyBorder="1" applyAlignment="1" applyProtection="1">
      <alignment horizontal="left" vertical="center"/>
      <protection locked="0"/>
    </xf>
    <xf numFmtId="0" fontId="5" fillId="0" borderId="62" xfId="0" applyFont="1" applyFill="1" applyBorder="1" applyAlignment="1" applyProtection="1">
      <alignment horizontal="left" vertical="center"/>
      <protection locked="0"/>
    </xf>
    <xf numFmtId="0" fontId="5" fillId="0" borderId="10" xfId="0" applyFont="1" applyFill="1" applyBorder="1" applyAlignment="1" applyProtection="1">
      <alignment horizontal="left" vertical="center"/>
      <protection locked="0"/>
    </xf>
    <xf numFmtId="0" fontId="5" fillId="0" borderId="12" xfId="0" applyFont="1" applyFill="1" applyBorder="1" applyAlignment="1" applyProtection="1">
      <alignment horizontal="left" vertical="center"/>
      <protection locked="0"/>
    </xf>
    <xf numFmtId="0" fontId="13" fillId="0" borderId="0" xfId="0" applyFont="1" applyBorder="1" applyAlignment="1">
      <alignment horizontal="left" vertical="top" wrapText="1"/>
    </xf>
    <xf numFmtId="0" fontId="5" fillId="0" borderId="107" xfId="0" applyFont="1" applyBorder="1" applyAlignment="1">
      <alignment horizontal="left" vertical="center" wrapText="1"/>
    </xf>
    <xf numFmtId="0" fontId="5" fillId="0" borderId="108" xfId="0" applyFont="1" applyBorder="1" applyAlignment="1">
      <alignment horizontal="left" vertical="center" wrapText="1"/>
    </xf>
    <xf numFmtId="0" fontId="5" fillId="0" borderId="109" xfId="0" applyFont="1" applyBorder="1" applyAlignment="1">
      <alignment horizontal="left" vertical="center" wrapText="1"/>
    </xf>
    <xf numFmtId="0" fontId="59" fillId="4" borderId="104" xfId="0" applyFont="1" applyFill="1" applyBorder="1" applyAlignment="1">
      <alignment horizontal="left" vertical="center" wrapText="1"/>
    </xf>
    <xf numFmtId="0" fontId="59" fillId="4" borderId="105" xfId="0" applyFont="1" applyFill="1" applyBorder="1" applyAlignment="1">
      <alignment horizontal="left" vertical="center" wrapText="1"/>
    </xf>
    <xf numFmtId="0" fontId="59" fillId="4" borderId="106" xfId="0" applyFont="1" applyFill="1" applyBorder="1" applyAlignment="1">
      <alignment horizontal="left" vertical="center" wrapText="1"/>
    </xf>
    <xf numFmtId="0" fontId="5" fillId="0" borderId="50" xfId="0" applyFont="1" applyFill="1" applyBorder="1" applyAlignment="1">
      <alignment horizontal="left" vertical="center" wrapText="1"/>
    </xf>
    <xf numFmtId="0" fontId="5" fillId="0" borderId="42" xfId="0" applyFont="1" applyFill="1" applyBorder="1" applyAlignment="1">
      <alignment horizontal="left" vertical="center" wrapText="1"/>
    </xf>
    <xf numFmtId="0" fontId="5" fillId="0" borderId="65" xfId="0" applyFont="1" applyFill="1" applyBorder="1" applyAlignment="1">
      <alignment horizontal="left" vertical="center" wrapText="1"/>
    </xf>
    <xf numFmtId="0" fontId="35" fillId="0" borderId="0" xfId="0" applyFont="1" applyAlignment="1">
      <alignment horizontal="left" vertical="center" indent="3"/>
    </xf>
    <xf numFmtId="0" fontId="22" fillId="0" borderId="5" xfId="0" applyFont="1" applyBorder="1" applyAlignment="1">
      <alignment horizontal="left" vertical="center" indent="3"/>
    </xf>
    <xf numFmtId="0" fontId="5" fillId="0" borderId="73" xfId="0" applyFont="1" applyBorder="1" applyAlignment="1">
      <alignment horizontal="left" vertical="center" wrapText="1"/>
    </xf>
    <xf numFmtId="0" fontId="5" fillId="0" borderId="65" xfId="0" applyFont="1" applyBorder="1" applyAlignment="1">
      <alignment horizontal="left" vertical="center" wrapText="1"/>
    </xf>
    <xf numFmtId="0" fontId="58" fillId="4" borderId="10" xfId="0" applyFont="1" applyFill="1" applyBorder="1" applyAlignment="1">
      <alignment horizontal="center" vertical="center" wrapText="1"/>
    </xf>
    <xf numFmtId="0" fontId="59" fillId="4" borderId="110" xfId="0" applyFont="1" applyFill="1" applyBorder="1" applyAlignment="1">
      <alignment horizontal="left" vertical="center" wrapText="1"/>
    </xf>
    <xf numFmtId="0" fontId="59" fillId="4" borderId="8" xfId="0" applyFont="1" applyFill="1" applyBorder="1" applyAlignment="1">
      <alignment horizontal="left" vertical="center" wrapText="1"/>
    </xf>
    <xf numFmtId="0" fontId="59" fillId="4" borderId="11" xfId="0" applyFont="1" applyFill="1" applyBorder="1" applyAlignment="1">
      <alignment horizontal="left" vertical="center" wrapText="1"/>
    </xf>
    <xf numFmtId="0" fontId="5" fillId="0" borderId="65" xfId="0" applyFont="1" applyFill="1" applyBorder="1" applyAlignment="1" applyProtection="1">
      <alignment horizontal="left" vertical="center" wrapText="1"/>
    </xf>
    <xf numFmtId="0" fontId="5" fillId="0" borderId="141" xfId="0" applyFont="1" applyFill="1" applyBorder="1" applyAlignment="1" applyProtection="1">
      <alignment horizontal="left" vertical="center" wrapText="1"/>
    </xf>
    <xf numFmtId="0" fontId="58" fillId="4" borderId="76" xfId="0" applyFont="1" applyFill="1" applyBorder="1" applyAlignment="1">
      <alignment horizontal="left" vertical="center" wrapText="1"/>
    </xf>
    <xf numFmtId="0" fontId="58" fillId="4" borderId="77" xfId="0" applyFont="1" applyFill="1" applyBorder="1" applyAlignment="1">
      <alignment horizontal="left" vertical="center" wrapText="1"/>
    </xf>
    <xf numFmtId="0" fontId="5" fillId="0" borderId="25" xfId="0" applyFont="1" applyFill="1" applyBorder="1" applyAlignment="1" applyProtection="1">
      <alignment horizontal="left" vertical="center" wrapText="1"/>
      <protection locked="0"/>
    </xf>
    <xf numFmtId="0" fontId="5" fillId="0" borderId="6" xfId="0" applyFont="1" applyFill="1" applyBorder="1" applyAlignment="1" applyProtection="1">
      <alignment horizontal="left" vertical="center" wrapText="1"/>
      <protection locked="0"/>
    </xf>
    <xf numFmtId="0" fontId="5" fillId="0" borderId="26" xfId="0" applyFont="1" applyFill="1" applyBorder="1" applyAlignment="1" applyProtection="1">
      <alignment horizontal="left" vertical="center" wrapText="1"/>
      <protection locked="0"/>
    </xf>
    <xf numFmtId="0" fontId="5" fillId="0" borderId="27" xfId="0" applyFont="1" applyFill="1" applyBorder="1" applyAlignment="1" applyProtection="1">
      <alignment horizontal="left" vertical="center" wrapText="1"/>
      <protection locked="0"/>
    </xf>
    <xf numFmtId="0" fontId="5" fillId="0" borderId="24"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28" fillId="0" borderId="50" xfId="0" applyFont="1" applyFill="1" applyBorder="1" applyAlignment="1">
      <alignment horizontal="left" vertical="center" wrapText="1"/>
    </xf>
    <xf numFmtId="0" fontId="28" fillId="0" borderId="75" xfId="0" applyFont="1" applyFill="1" applyBorder="1" applyAlignment="1">
      <alignment horizontal="left" vertical="center" wrapText="1"/>
    </xf>
    <xf numFmtId="0" fontId="28" fillId="0" borderId="42" xfId="0" applyFont="1" applyFill="1" applyBorder="1" applyAlignment="1">
      <alignment horizontal="left" vertical="center" wrapText="1"/>
    </xf>
    <xf numFmtId="0" fontId="28" fillId="0" borderId="74" xfId="0" applyFont="1" applyFill="1" applyBorder="1" applyAlignment="1">
      <alignment horizontal="left" vertical="center" wrapText="1"/>
    </xf>
    <xf numFmtId="0" fontId="5" fillId="0" borderId="74" xfId="0" applyFont="1" applyFill="1" applyBorder="1" applyAlignment="1">
      <alignment horizontal="left" vertical="center" wrapText="1"/>
    </xf>
    <xf numFmtId="0" fontId="28" fillId="0" borderId="53" xfId="0" applyFont="1" applyFill="1" applyBorder="1" applyAlignment="1">
      <alignment horizontal="left" vertical="center" wrapText="1"/>
    </xf>
    <xf numFmtId="0" fontId="28" fillId="0" borderId="94" xfId="0" applyFont="1" applyFill="1" applyBorder="1" applyAlignment="1">
      <alignment horizontal="left" vertical="center" wrapText="1"/>
    </xf>
    <xf numFmtId="164" fontId="28" fillId="0" borderId="55" xfId="0" applyNumberFormat="1" applyFont="1" applyBorder="1" applyAlignment="1">
      <alignment horizontal="left" vertical="center" wrapText="1"/>
    </xf>
    <xf numFmtId="164" fontId="28" fillId="0" borderId="90" xfId="0" applyNumberFormat="1" applyFont="1" applyBorder="1" applyAlignment="1">
      <alignment horizontal="left" vertical="center" wrapText="1"/>
    </xf>
    <xf numFmtId="0" fontId="5" fillId="0" borderId="82" xfId="0" applyFont="1" applyFill="1" applyBorder="1" applyAlignment="1">
      <alignment horizontal="left" vertical="center" wrapText="1"/>
    </xf>
    <xf numFmtId="0" fontId="5" fillId="0" borderId="83" xfId="0" applyFont="1" applyFill="1" applyBorder="1" applyAlignment="1">
      <alignment horizontal="left" vertical="center" wrapText="1"/>
    </xf>
    <xf numFmtId="0" fontId="19" fillId="0" borderId="142" xfId="0" applyFont="1" applyBorder="1" applyAlignment="1">
      <alignment horizontal="center" wrapText="1"/>
    </xf>
    <xf numFmtId="0" fontId="19" fillId="0" borderId="52" xfId="0" applyFont="1" applyBorder="1" applyAlignment="1">
      <alignment horizontal="center" wrapText="1"/>
    </xf>
    <xf numFmtId="0" fontId="58" fillId="0" borderId="85" xfId="0" applyFont="1" applyBorder="1" applyAlignment="1">
      <alignment horizontal="center" vertical="center" wrapText="1"/>
    </xf>
    <xf numFmtId="0" fontId="58" fillId="0" borderId="60" xfId="0" applyFont="1" applyBorder="1" applyAlignment="1">
      <alignment horizontal="center" vertical="center" wrapText="1"/>
    </xf>
    <xf numFmtId="0" fontId="34" fillId="0" borderId="14" xfId="0" applyFont="1" applyBorder="1" applyAlignment="1">
      <alignment horizontal="center" vertical="center" wrapText="1"/>
    </xf>
    <xf numFmtId="0" fontId="5" fillId="0" borderId="24" xfId="0" applyFont="1" applyBorder="1" applyAlignment="1">
      <alignment horizontal="left" vertical="center" wrapText="1"/>
    </xf>
    <xf numFmtId="0" fontId="5" fillId="0" borderId="118" xfId="0" applyFont="1" applyFill="1" applyBorder="1" applyAlignment="1">
      <alignment horizontal="left" vertical="center" wrapText="1"/>
    </xf>
    <xf numFmtId="0" fontId="5" fillId="0" borderId="113" xfId="0" applyFont="1" applyFill="1" applyBorder="1" applyAlignment="1">
      <alignment horizontal="left" vertical="center" wrapText="1"/>
    </xf>
    <xf numFmtId="0" fontId="5" fillId="0" borderId="115" xfId="0" applyFont="1" applyFill="1" applyBorder="1" applyAlignment="1">
      <alignment horizontal="left" vertical="center" wrapText="1"/>
    </xf>
    <xf numFmtId="0" fontId="28" fillId="0" borderId="72" xfId="0" applyFont="1" applyBorder="1" applyAlignment="1">
      <alignment horizontal="center" vertical="center" wrapText="1"/>
    </xf>
    <xf numFmtId="0" fontId="28" fillId="0" borderId="64" xfId="0" applyFont="1" applyBorder="1" applyAlignment="1">
      <alignment horizontal="center" vertical="center" wrapText="1"/>
    </xf>
    <xf numFmtId="0" fontId="19" fillId="0" borderId="74" xfId="0" applyFont="1" applyBorder="1" applyAlignment="1">
      <alignment horizontal="center" wrapText="1"/>
    </xf>
    <xf numFmtId="0" fontId="19" fillId="0" borderId="43" xfId="0" applyFont="1" applyBorder="1" applyAlignment="1">
      <alignment horizontal="center" wrapText="1"/>
    </xf>
    <xf numFmtId="0" fontId="5" fillId="0" borderId="43" xfId="0" applyFont="1" applyBorder="1" applyAlignment="1" applyProtection="1">
      <alignment horizontal="left" vertical="center" wrapText="1"/>
      <protection locked="0"/>
    </xf>
    <xf numFmtId="167" fontId="5" fillId="0" borderId="73" xfId="0" applyNumberFormat="1" applyFont="1" applyBorder="1" applyAlignment="1" applyProtection="1">
      <alignment horizontal="center" vertical="center" wrapText="1"/>
      <protection locked="0"/>
    </xf>
    <xf numFmtId="167" fontId="5" fillId="0" borderId="66" xfId="0" applyNumberFormat="1" applyFont="1" applyBorder="1" applyAlignment="1" applyProtection="1">
      <alignment horizontal="center" vertical="center" wrapText="1"/>
      <protection locked="0"/>
    </xf>
    <xf numFmtId="0" fontId="28" fillId="0" borderId="85" xfId="0" applyFont="1" applyBorder="1" applyAlignment="1">
      <alignment horizontal="center" vertical="center" wrapText="1"/>
    </xf>
    <xf numFmtId="0" fontId="5" fillId="0" borderId="7"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0" borderId="9" xfId="0" applyFont="1" applyFill="1" applyBorder="1" applyAlignment="1" applyProtection="1">
      <alignment horizontal="left" vertical="center" wrapText="1"/>
      <protection locked="0"/>
    </xf>
    <xf numFmtId="0" fontId="5" fillId="0" borderId="10" xfId="0" applyFont="1" applyFill="1" applyBorder="1" applyAlignment="1" applyProtection="1">
      <alignment horizontal="left" vertical="center" wrapText="1"/>
      <protection locked="0"/>
    </xf>
    <xf numFmtId="0" fontId="35" fillId="0" borderId="0" xfId="0" applyFont="1" applyBorder="1" applyAlignment="1">
      <alignment horizontal="center" vertical="center"/>
    </xf>
    <xf numFmtId="0" fontId="35" fillId="0" borderId="5" xfId="0" applyFont="1" applyBorder="1" applyAlignment="1">
      <alignment horizontal="center" vertical="center"/>
    </xf>
    <xf numFmtId="0" fontId="34" fillId="0" borderId="0" xfId="0" applyFont="1" applyBorder="1" applyAlignment="1">
      <alignment horizontal="center" vertical="center"/>
    </xf>
    <xf numFmtId="0" fontId="5" fillId="0" borderId="142" xfId="0" applyFont="1" applyBorder="1" applyAlignment="1" applyProtection="1">
      <alignment horizontal="center" vertical="center" wrapText="1"/>
      <protection locked="0"/>
    </xf>
    <xf numFmtId="0" fontId="5" fillId="0" borderId="52" xfId="0" applyFont="1" applyBorder="1" applyAlignment="1" applyProtection="1">
      <alignment horizontal="center" vertical="center" wrapText="1"/>
      <protection locked="0"/>
    </xf>
    <xf numFmtId="167" fontId="5" fillId="0" borderId="141" xfId="0" applyNumberFormat="1" applyFont="1" applyBorder="1" applyAlignment="1" applyProtection="1">
      <alignment horizontal="center" vertical="center" wrapText="1"/>
      <protection locked="0"/>
    </xf>
    <xf numFmtId="167" fontId="5" fillId="0" borderId="54" xfId="0" applyNumberFormat="1" applyFont="1" applyBorder="1" applyAlignment="1" applyProtection="1">
      <alignment horizontal="center" vertical="center" wrapText="1"/>
      <protection locked="0"/>
    </xf>
    <xf numFmtId="0" fontId="19" fillId="0" borderId="142" xfId="0" applyFont="1" applyBorder="1" applyAlignment="1" applyProtection="1">
      <alignment horizontal="center" wrapText="1"/>
      <protection hidden="1"/>
    </xf>
    <xf numFmtId="0" fontId="19" fillId="0" borderId="52" xfId="0" applyFont="1" applyBorder="1" applyAlignment="1" applyProtection="1">
      <alignment horizontal="center" wrapText="1"/>
      <protection hidden="1"/>
    </xf>
    <xf numFmtId="0" fontId="30" fillId="0" borderId="86" xfId="0" applyFont="1" applyBorder="1" applyAlignment="1">
      <alignment horizontal="left" vertical="center" wrapText="1"/>
    </xf>
    <xf numFmtId="0" fontId="30" fillId="0" borderId="87" xfId="0" applyFont="1" applyBorder="1" applyAlignment="1">
      <alignment horizontal="left" vertical="center" wrapText="1"/>
    </xf>
    <xf numFmtId="0" fontId="30" fillId="0" borderId="88" xfId="0" applyFont="1" applyBorder="1" applyAlignment="1">
      <alignment horizontal="left" vertical="center" wrapText="1"/>
    </xf>
    <xf numFmtId="0" fontId="30" fillId="0" borderId="86" xfId="0" applyFont="1" applyBorder="1" applyAlignment="1">
      <alignment horizontal="center" vertical="center"/>
    </xf>
    <xf numFmtId="0" fontId="30" fillId="0" borderId="87" xfId="0" applyFont="1" applyBorder="1" applyAlignment="1">
      <alignment horizontal="center" vertical="center"/>
    </xf>
    <xf numFmtId="0" fontId="30" fillId="0" borderId="88" xfId="0" applyFont="1" applyBorder="1" applyAlignment="1">
      <alignment horizontal="center" vertical="center"/>
    </xf>
    <xf numFmtId="0" fontId="33" fillId="0" borderId="91" xfId="4" applyFont="1" applyBorder="1" applyAlignment="1">
      <alignment horizontal="left" vertical="top" wrapText="1"/>
    </xf>
    <xf numFmtId="0" fontId="33" fillId="0" borderId="92" xfId="4" applyFont="1" applyBorder="1" applyAlignment="1">
      <alignment horizontal="left" vertical="top" wrapText="1"/>
    </xf>
    <xf numFmtId="0" fontId="33" fillId="0" borderId="93" xfId="4" applyFont="1" applyBorder="1" applyAlignment="1">
      <alignment horizontal="left" vertical="top" wrapText="1"/>
    </xf>
    <xf numFmtId="0" fontId="30" fillId="9" borderId="42" xfId="0" applyFont="1" applyFill="1" applyBorder="1" applyAlignment="1">
      <alignment horizontal="left" vertical="center" wrapText="1"/>
    </xf>
    <xf numFmtId="0" fontId="30" fillId="9" borderId="74" xfId="0" applyFont="1" applyFill="1" applyBorder="1" applyAlignment="1">
      <alignment horizontal="left" vertical="center" wrapText="1"/>
    </xf>
    <xf numFmtId="0" fontId="30" fillId="9" borderId="86" xfId="0" applyFont="1" applyFill="1" applyBorder="1" applyAlignment="1">
      <alignment horizontal="left" vertical="center" wrapText="1"/>
    </xf>
    <xf numFmtId="0" fontId="30" fillId="9" borderId="87" xfId="0" applyFont="1" applyFill="1" applyBorder="1" applyAlignment="1">
      <alignment horizontal="left" vertical="center" wrapText="1"/>
    </xf>
    <xf numFmtId="0" fontId="30" fillId="9" borderId="88" xfId="0" applyFont="1" applyFill="1" applyBorder="1" applyAlignment="1">
      <alignment horizontal="left" vertical="center" wrapText="1"/>
    </xf>
    <xf numFmtId="0" fontId="30" fillId="9" borderId="50" xfId="0" applyFont="1" applyFill="1" applyBorder="1" applyAlignment="1">
      <alignment horizontal="left" vertical="center" wrapText="1"/>
    </xf>
    <xf numFmtId="0" fontId="30" fillId="9" borderId="75" xfId="0" applyFont="1" applyFill="1" applyBorder="1" applyAlignment="1">
      <alignment horizontal="left" vertical="center" wrapText="1"/>
    </xf>
    <xf numFmtId="0" fontId="30" fillId="9" borderId="51" xfId="0" applyFont="1" applyFill="1" applyBorder="1" applyAlignment="1">
      <alignment horizontal="left" vertical="center" wrapText="1"/>
    </xf>
    <xf numFmtId="0" fontId="30" fillId="9" borderId="43" xfId="0" applyFont="1" applyFill="1" applyBorder="1" applyAlignment="1">
      <alignment horizontal="left" vertical="center" wrapText="1"/>
    </xf>
    <xf numFmtId="0" fontId="30" fillId="9" borderId="82" xfId="0" applyFont="1" applyFill="1" applyBorder="1" applyAlignment="1">
      <alignment horizontal="left" vertical="center" wrapText="1"/>
    </xf>
    <xf numFmtId="0" fontId="30" fillId="9" borderId="83" xfId="0" applyFont="1" applyFill="1" applyBorder="1" applyAlignment="1">
      <alignment horizontal="left" vertical="center" wrapText="1"/>
    </xf>
    <xf numFmtId="0" fontId="30" fillId="9" borderId="84" xfId="0" applyFont="1" applyFill="1" applyBorder="1" applyAlignment="1">
      <alignment horizontal="left" vertical="center" wrapText="1"/>
    </xf>
    <xf numFmtId="0" fontId="30" fillId="0" borderId="86" xfId="0" applyFont="1" applyBorder="1" applyAlignment="1">
      <alignment vertical="center" wrapText="1"/>
    </xf>
    <xf numFmtId="0" fontId="30" fillId="0" borderId="87" xfId="0" applyFont="1" applyBorder="1" applyAlignment="1">
      <alignment vertical="center" wrapText="1"/>
    </xf>
    <xf numFmtId="0" fontId="30" fillId="0" borderId="88" xfId="0" applyFont="1" applyBorder="1" applyAlignment="1">
      <alignment vertical="center" wrapText="1"/>
    </xf>
  </cellXfs>
  <cellStyles count="5">
    <cellStyle name="40% - Accent1" xfId="2" builtinId="31"/>
    <cellStyle name="Accent5" xfId="3" builtinId="45"/>
    <cellStyle name="Hyperlink" xfId="4" builtinId="8"/>
    <cellStyle name="Normal" xfId="0" builtinId="0"/>
    <cellStyle name="Normal 2" xfId="1"/>
  </cellStyles>
  <dxfs count="212">
    <dxf>
      <font>
        <color theme="4" tint="-0.499984740745262"/>
      </font>
    </dxf>
    <dxf>
      <font>
        <color theme="4" tint="-0.499984740745262"/>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4" tint="-0.499984740745262"/>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b val="0"/>
        <i/>
        <color rgb="FFFF0000"/>
      </font>
    </dxf>
    <dxf>
      <fill>
        <patternFill>
          <bgColor theme="0" tint="-0.24994659260841701"/>
        </patternFill>
      </fill>
    </dxf>
    <dxf>
      <font>
        <b/>
        <i/>
        <color rgb="FFFF0000"/>
      </font>
    </dxf>
    <dxf>
      <font>
        <b/>
        <i/>
        <color rgb="FFFF0000"/>
      </font>
    </dxf>
    <dxf>
      <font>
        <b/>
        <i/>
        <color rgb="FFFF0000"/>
      </font>
    </dxf>
    <dxf>
      <font>
        <b/>
        <i/>
        <color rgb="FFFF0000"/>
      </font>
    </dxf>
    <dxf>
      <font>
        <b/>
        <i/>
        <color rgb="FFFF0000"/>
      </font>
    </dxf>
    <dxf>
      <font>
        <b/>
        <i/>
        <color rgb="FFFF0000"/>
      </font>
    </dxf>
    <dxf>
      <font>
        <b/>
        <i/>
        <color rgb="FFFF0000"/>
      </font>
    </dxf>
    <dxf>
      <font>
        <b/>
        <i/>
        <color rgb="FFFF0000"/>
      </font>
    </dxf>
    <dxf>
      <font>
        <b/>
        <i/>
        <color rgb="FFFF0000"/>
      </font>
    </dxf>
    <dxf>
      <font>
        <b/>
        <i/>
        <color rgb="FFFF0000"/>
      </font>
    </dxf>
    <dxf>
      <fill>
        <patternFill>
          <bgColor theme="0" tint="-0.34998626667073579"/>
        </patternFill>
      </fill>
    </dxf>
    <dxf>
      <fill>
        <patternFill>
          <bgColor theme="0" tint="-0.34998626667073579"/>
        </patternFill>
      </fill>
    </dxf>
    <dxf>
      <fill>
        <patternFill>
          <bgColor theme="0" tint="-0.24994659260841701"/>
        </patternFill>
      </fill>
    </dxf>
    <dxf>
      <fill>
        <patternFill>
          <bgColor theme="0" tint="-0.24994659260841701"/>
        </patternFill>
      </fill>
    </dxf>
    <dxf>
      <font>
        <color theme="4" tint="-0.499984740745262"/>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b val="0"/>
        <i/>
        <color rgb="FFFF0000"/>
      </font>
      <fill>
        <patternFill patternType="none">
          <bgColor auto="1"/>
        </patternFill>
      </fill>
    </dxf>
    <dxf>
      <font>
        <b/>
        <i/>
        <color rgb="FFFF0000"/>
      </font>
    </dxf>
    <dxf>
      <font>
        <b/>
        <i/>
        <color rgb="FFFF0000"/>
      </font>
    </dxf>
    <dxf>
      <font>
        <b/>
        <i/>
        <color rgb="FFFF0000"/>
      </font>
    </dxf>
    <dxf>
      <font>
        <b/>
        <i/>
        <color rgb="FFFF0000"/>
      </font>
    </dxf>
    <dxf>
      <font>
        <b/>
        <i/>
        <color rgb="FFFF0000"/>
      </font>
    </dxf>
    <dxf>
      <font>
        <b/>
        <i/>
        <color rgb="FFFF0000"/>
      </font>
    </dxf>
    <dxf>
      <font>
        <b/>
        <i/>
        <color rgb="FFFF0000"/>
      </font>
    </dxf>
    <dxf>
      <font>
        <b/>
        <i/>
        <color rgb="FFFF0000"/>
      </font>
    </dxf>
    <dxf>
      <font>
        <b/>
        <i/>
        <color rgb="FFFF0000"/>
      </font>
    </dxf>
    <dxf>
      <font>
        <b/>
        <i/>
        <color rgb="FFFF0000"/>
      </font>
    </dxf>
    <dxf>
      <font>
        <b/>
        <i/>
        <color rgb="FFFF0000"/>
      </font>
    </dxf>
    <dxf>
      <font>
        <b/>
        <i/>
        <color rgb="FFFF0000"/>
      </font>
    </dxf>
    <dxf>
      <font>
        <b/>
        <i/>
        <color rgb="FFFF0000"/>
      </font>
    </dxf>
    <dxf>
      <font>
        <b/>
        <i/>
        <color rgb="FFFF0000"/>
      </font>
    </dxf>
    <dxf>
      <font>
        <b/>
        <i/>
        <color rgb="FFFF0000"/>
      </font>
    </dxf>
    <dxf>
      <font>
        <b/>
        <i/>
        <color rgb="FFFF0000"/>
      </font>
    </dxf>
    <dxf>
      <fill>
        <patternFill>
          <bgColor theme="0" tint="-0.34998626667073579"/>
        </patternFill>
      </fill>
    </dxf>
    <dxf>
      <font>
        <b/>
        <i/>
        <color rgb="FFFF0000"/>
      </font>
    </dxf>
    <dxf>
      <border>
        <left style="dotted">
          <color theme="0" tint="-0.14996795556505021"/>
        </left>
        <right style="thin">
          <color theme="0" tint="-0.24994659260841701"/>
        </right>
        <top style="dotted">
          <color theme="0" tint="-0.14996795556505021"/>
        </top>
        <bottom style="thin">
          <color theme="0" tint="-0.14993743705557422"/>
        </bottom>
        <vertical/>
        <horizontal/>
      </border>
    </dxf>
    <dxf>
      <font>
        <color theme="4" tint="-0.499984740745262"/>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4" tint="-0.499984740745262"/>
      </font>
    </dxf>
    <dxf>
      <fill>
        <patternFill>
          <bgColor theme="0" tint="-0.34998626667073579"/>
        </patternFill>
      </fill>
    </dxf>
    <dxf>
      <fill>
        <patternFill>
          <bgColor theme="0" tint="-0.34998626667073579"/>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border>
        <left style="dashDotDot">
          <color theme="0" tint="-0.24994659260841701"/>
        </left>
        <top style="dashDotDot">
          <color theme="0" tint="-0.24994659260841701"/>
        </top>
        <bottom style="dashDotDot">
          <color theme="0" tint="-0.24994659260841701"/>
        </bottom>
        <vertical/>
        <horizontal/>
      </border>
    </dxf>
    <dxf>
      <fill>
        <patternFill>
          <bgColor theme="0" tint="-0.34998626667073579"/>
        </patternFill>
      </fill>
    </dxf>
    <dxf>
      <fill>
        <patternFill>
          <bgColor theme="0" tint="-0.34998626667073579"/>
        </patternFill>
      </fill>
    </dxf>
    <dxf>
      <fill>
        <patternFill>
          <bgColor theme="0" tint="-0.34998626667073579"/>
        </patternFill>
      </fill>
    </dxf>
    <dxf>
      <font>
        <b/>
        <i val="0"/>
        <color rgb="FFFF0000"/>
      </font>
    </dxf>
    <dxf>
      <font>
        <b/>
        <i val="0"/>
        <color rgb="FFFF0000"/>
      </font>
    </dxf>
    <dxf>
      <font>
        <b/>
        <i/>
        <color rgb="FFFF000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s>
  <tableStyles count="0" defaultTableStyle="TableStyleMedium2" defaultPivotStyle="PivotStyleLight16"/>
  <colors>
    <mruColors>
      <color rgb="FF1F4E78"/>
      <color rgb="FF1F497D"/>
      <color rgb="FFF63B16"/>
      <color rgb="FFF93B16"/>
      <color rgb="FFFF3300"/>
      <color rgb="FFFF3232"/>
      <color rgb="FFFF3900"/>
      <color rgb="FF4472C4"/>
      <color rgb="FF000099"/>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1.xml"/></Relationships>
</file>

<file path=xl/ctrlProps/ctrlProp1.xml><?xml version="1.0" encoding="utf-8"?>
<formControlPr xmlns="http://schemas.microsoft.com/office/spreadsheetml/2009/9/main" objectType="CheckBox" fmlaLink="$N$94" lockText="1"/>
</file>

<file path=xl/ctrlProps/ctrlProp10.xml><?xml version="1.0" encoding="utf-8"?>
<formControlPr xmlns="http://schemas.microsoft.com/office/spreadsheetml/2009/9/main" objectType="CheckBox" fmlaLink="$O$161" lockText="1"/>
</file>

<file path=xl/ctrlProps/ctrlProp100.xml><?xml version="1.0" encoding="utf-8"?>
<formControlPr xmlns="http://schemas.microsoft.com/office/spreadsheetml/2009/9/main" objectType="CheckBox" fmlaLink="V12" lockText="1"/>
</file>

<file path=xl/ctrlProps/ctrlProp101.xml><?xml version="1.0" encoding="utf-8"?>
<formControlPr xmlns="http://schemas.microsoft.com/office/spreadsheetml/2009/9/main" objectType="CheckBox" fmlaLink="W39" lockText="1"/>
</file>

<file path=xl/ctrlProps/ctrlProp102.xml><?xml version="1.0" encoding="utf-8"?>
<formControlPr xmlns="http://schemas.microsoft.com/office/spreadsheetml/2009/9/main" objectType="CheckBox" fmlaLink="X39" lockText="1"/>
</file>

<file path=xl/ctrlProps/ctrlProp103.xml><?xml version="1.0" encoding="utf-8"?>
<formControlPr xmlns="http://schemas.microsoft.com/office/spreadsheetml/2009/9/main" objectType="CheckBox" fmlaLink="W40" lockText="1"/>
</file>

<file path=xl/ctrlProps/ctrlProp104.xml><?xml version="1.0" encoding="utf-8"?>
<formControlPr xmlns="http://schemas.microsoft.com/office/spreadsheetml/2009/9/main" objectType="CheckBox" fmlaLink="X40" lockText="1"/>
</file>

<file path=xl/ctrlProps/ctrlProp105.xml><?xml version="1.0" encoding="utf-8"?>
<formControlPr xmlns="http://schemas.microsoft.com/office/spreadsheetml/2009/9/main" objectType="CheckBox" fmlaLink="W41" lockText="1"/>
</file>

<file path=xl/ctrlProps/ctrlProp106.xml><?xml version="1.0" encoding="utf-8"?>
<formControlPr xmlns="http://schemas.microsoft.com/office/spreadsheetml/2009/9/main" objectType="CheckBox" fmlaLink="X41" lockText="1"/>
</file>

<file path=xl/ctrlProps/ctrlProp107.xml><?xml version="1.0" encoding="utf-8"?>
<formControlPr xmlns="http://schemas.microsoft.com/office/spreadsheetml/2009/9/main" objectType="CheckBox" fmlaLink="W42" lockText="1"/>
</file>

<file path=xl/ctrlProps/ctrlProp108.xml><?xml version="1.0" encoding="utf-8"?>
<formControlPr xmlns="http://schemas.microsoft.com/office/spreadsheetml/2009/9/main" objectType="CheckBox" fmlaLink="X42" lockText="1"/>
</file>

<file path=xl/ctrlProps/ctrlProp109.xml><?xml version="1.0" encoding="utf-8"?>
<formControlPr xmlns="http://schemas.microsoft.com/office/spreadsheetml/2009/9/main" objectType="CheckBox" fmlaLink="W43" lockText="1"/>
</file>

<file path=xl/ctrlProps/ctrlProp11.xml><?xml version="1.0" encoding="utf-8"?>
<formControlPr xmlns="http://schemas.microsoft.com/office/spreadsheetml/2009/9/main" objectType="CheckBox" fmlaLink="$N$162" lockText="1"/>
</file>

<file path=xl/ctrlProps/ctrlProp110.xml><?xml version="1.0" encoding="utf-8"?>
<formControlPr xmlns="http://schemas.microsoft.com/office/spreadsheetml/2009/9/main" objectType="CheckBox" fmlaLink="X43" lockText="1"/>
</file>

<file path=xl/ctrlProps/ctrlProp111.xml><?xml version="1.0" encoding="utf-8"?>
<formControlPr xmlns="http://schemas.microsoft.com/office/spreadsheetml/2009/9/main" objectType="CheckBox" fmlaLink="W44" lockText="1"/>
</file>

<file path=xl/ctrlProps/ctrlProp112.xml><?xml version="1.0" encoding="utf-8"?>
<formControlPr xmlns="http://schemas.microsoft.com/office/spreadsheetml/2009/9/main" objectType="CheckBox" fmlaLink="X44" lockText="1"/>
</file>

<file path=xl/ctrlProps/ctrlProp113.xml><?xml version="1.0" encoding="utf-8"?>
<formControlPr xmlns="http://schemas.microsoft.com/office/spreadsheetml/2009/9/main" objectType="CheckBox" fmlaLink="W45" lockText="1"/>
</file>

<file path=xl/ctrlProps/ctrlProp114.xml><?xml version="1.0" encoding="utf-8"?>
<formControlPr xmlns="http://schemas.microsoft.com/office/spreadsheetml/2009/9/main" objectType="CheckBox" fmlaLink="X45" lockText="1"/>
</file>

<file path=xl/ctrlProps/ctrlProp115.xml><?xml version="1.0" encoding="utf-8"?>
<formControlPr xmlns="http://schemas.microsoft.com/office/spreadsheetml/2009/9/main" objectType="CheckBox" fmlaLink="W46" lockText="1"/>
</file>

<file path=xl/ctrlProps/ctrlProp116.xml><?xml version="1.0" encoding="utf-8"?>
<formControlPr xmlns="http://schemas.microsoft.com/office/spreadsheetml/2009/9/main" objectType="CheckBox" fmlaLink="X46" lockText="1"/>
</file>

<file path=xl/ctrlProps/ctrlProp117.xml><?xml version="1.0" encoding="utf-8"?>
<formControlPr xmlns="http://schemas.microsoft.com/office/spreadsheetml/2009/9/main" objectType="CheckBox" fmlaLink="W47" lockText="1"/>
</file>

<file path=xl/ctrlProps/ctrlProp118.xml><?xml version="1.0" encoding="utf-8"?>
<formControlPr xmlns="http://schemas.microsoft.com/office/spreadsheetml/2009/9/main" objectType="CheckBox" fmlaLink="X47" lockText="1"/>
</file>

<file path=xl/ctrlProps/ctrlProp119.xml><?xml version="1.0" encoding="utf-8"?>
<formControlPr xmlns="http://schemas.microsoft.com/office/spreadsheetml/2009/9/main" objectType="CheckBox" fmlaLink="W48" lockText="1"/>
</file>

<file path=xl/ctrlProps/ctrlProp12.xml><?xml version="1.0" encoding="utf-8"?>
<formControlPr xmlns="http://schemas.microsoft.com/office/spreadsheetml/2009/9/main" objectType="CheckBox" fmlaLink="$O$162" lockText="1"/>
</file>

<file path=xl/ctrlProps/ctrlProp120.xml><?xml version="1.0" encoding="utf-8"?>
<formControlPr xmlns="http://schemas.microsoft.com/office/spreadsheetml/2009/9/main" objectType="CheckBox" fmlaLink="X48" lockText="1"/>
</file>

<file path=xl/ctrlProps/ctrlProp121.xml><?xml version="1.0" encoding="utf-8"?>
<formControlPr xmlns="http://schemas.microsoft.com/office/spreadsheetml/2009/9/main" objectType="CheckBox" fmlaLink="N65" lockText="1"/>
</file>

<file path=xl/ctrlProps/ctrlProp122.xml><?xml version="1.0" encoding="utf-8"?>
<formControlPr xmlns="http://schemas.microsoft.com/office/spreadsheetml/2009/9/main" objectType="CheckBox" fmlaLink="O65" lockText="1"/>
</file>

<file path=xl/ctrlProps/ctrlProp123.xml><?xml version="1.0" encoding="utf-8"?>
<formControlPr xmlns="http://schemas.microsoft.com/office/spreadsheetml/2009/9/main" objectType="CheckBox" fmlaLink="P65" lockText="1"/>
</file>

<file path=xl/ctrlProps/ctrlProp124.xml><?xml version="1.0" encoding="utf-8"?>
<formControlPr xmlns="http://schemas.microsoft.com/office/spreadsheetml/2009/9/main" objectType="CheckBox" fmlaLink="O52" lockText="1"/>
</file>

<file path=xl/ctrlProps/ctrlProp125.xml><?xml version="1.0" encoding="utf-8"?>
<formControlPr xmlns="http://schemas.microsoft.com/office/spreadsheetml/2009/9/main" objectType="CheckBox" fmlaLink="P52" lockText="1"/>
</file>

<file path=xl/ctrlProps/ctrlProp126.xml><?xml version="1.0" encoding="utf-8"?>
<formControlPr xmlns="http://schemas.microsoft.com/office/spreadsheetml/2009/9/main" objectType="CheckBox" fmlaLink="O63" lockText="1"/>
</file>

<file path=xl/ctrlProps/ctrlProp127.xml><?xml version="1.0" encoding="utf-8"?>
<formControlPr xmlns="http://schemas.microsoft.com/office/spreadsheetml/2009/9/main" objectType="CheckBox" fmlaLink="P63" lockText="1"/>
</file>

<file path=xl/ctrlProps/ctrlProp128.xml><?xml version="1.0" encoding="utf-8"?>
<formControlPr xmlns="http://schemas.microsoft.com/office/spreadsheetml/2009/9/main" objectType="CheckBox" fmlaLink="Q63" lockText="1"/>
</file>

<file path=xl/ctrlProps/ctrlProp129.xml><?xml version="1.0" encoding="utf-8"?>
<formControlPr xmlns="http://schemas.microsoft.com/office/spreadsheetml/2009/9/main" objectType="CheckBox" fmlaLink="O53" lockText="1"/>
</file>

<file path=xl/ctrlProps/ctrlProp13.xml><?xml version="1.0" encoding="utf-8"?>
<formControlPr xmlns="http://schemas.microsoft.com/office/spreadsheetml/2009/9/main" objectType="CheckBox" fmlaLink="$N$163" lockText="1"/>
</file>

<file path=xl/ctrlProps/ctrlProp130.xml><?xml version="1.0" encoding="utf-8"?>
<formControlPr xmlns="http://schemas.microsoft.com/office/spreadsheetml/2009/9/main" objectType="CheckBox" fmlaLink="P53" lockText="1"/>
</file>

<file path=xl/ctrlProps/ctrlProp131.xml><?xml version="1.0" encoding="utf-8"?>
<formControlPr xmlns="http://schemas.microsoft.com/office/spreadsheetml/2009/9/main" objectType="CheckBox" fmlaLink="O54" lockText="1"/>
</file>

<file path=xl/ctrlProps/ctrlProp132.xml><?xml version="1.0" encoding="utf-8"?>
<formControlPr xmlns="http://schemas.microsoft.com/office/spreadsheetml/2009/9/main" objectType="CheckBox" fmlaLink="P54" lockText="1"/>
</file>

<file path=xl/ctrlProps/ctrlProp133.xml><?xml version="1.0" encoding="utf-8"?>
<formControlPr xmlns="http://schemas.microsoft.com/office/spreadsheetml/2009/9/main" objectType="CheckBox" fmlaLink="O55" lockText="1"/>
</file>

<file path=xl/ctrlProps/ctrlProp134.xml><?xml version="1.0" encoding="utf-8"?>
<formControlPr xmlns="http://schemas.microsoft.com/office/spreadsheetml/2009/9/main" objectType="CheckBox" fmlaLink="P55" lockText="1"/>
</file>

<file path=xl/ctrlProps/ctrlProp135.xml><?xml version="1.0" encoding="utf-8"?>
<formControlPr xmlns="http://schemas.microsoft.com/office/spreadsheetml/2009/9/main" objectType="CheckBox" fmlaLink="O56" lockText="1"/>
</file>

<file path=xl/ctrlProps/ctrlProp136.xml><?xml version="1.0" encoding="utf-8"?>
<formControlPr xmlns="http://schemas.microsoft.com/office/spreadsheetml/2009/9/main" objectType="CheckBox" fmlaLink="P56" lockText="1"/>
</file>

<file path=xl/ctrlProps/ctrlProp137.xml><?xml version="1.0" encoding="utf-8"?>
<formControlPr xmlns="http://schemas.microsoft.com/office/spreadsheetml/2009/9/main" objectType="CheckBox" fmlaLink="O57" lockText="1"/>
</file>

<file path=xl/ctrlProps/ctrlProp138.xml><?xml version="1.0" encoding="utf-8"?>
<formControlPr xmlns="http://schemas.microsoft.com/office/spreadsheetml/2009/9/main" objectType="CheckBox" fmlaLink="P57" lockText="1"/>
</file>

<file path=xl/ctrlProps/ctrlProp139.xml><?xml version="1.0" encoding="utf-8"?>
<formControlPr xmlns="http://schemas.microsoft.com/office/spreadsheetml/2009/9/main" objectType="CheckBox" fmlaLink="O58" lockText="1"/>
</file>

<file path=xl/ctrlProps/ctrlProp14.xml><?xml version="1.0" encoding="utf-8"?>
<formControlPr xmlns="http://schemas.microsoft.com/office/spreadsheetml/2009/9/main" objectType="CheckBox" fmlaLink="$O$163" lockText="1"/>
</file>

<file path=xl/ctrlProps/ctrlProp140.xml><?xml version="1.0" encoding="utf-8"?>
<formControlPr xmlns="http://schemas.microsoft.com/office/spreadsheetml/2009/9/main" objectType="CheckBox" fmlaLink="P58" lockText="1"/>
</file>

<file path=xl/ctrlProps/ctrlProp141.xml><?xml version="1.0" encoding="utf-8"?>
<formControlPr xmlns="http://schemas.microsoft.com/office/spreadsheetml/2009/9/main" objectType="CheckBox" fmlaLink="O59" lockText="1"/>
</file>

<file path=xl/ctrlProps/ctrlProp142.xml><?xml version="1.0" encoding="utf-8"?>
<formControlPr xmlns="http://schemas.microsoft.com/office/spreadsheetml/2009/9/main" objectType="CheckBox" fmlaLink="P59" lockText="1"/>
</file>

<file path=xl/ctrlProps/ctrlProp143.xml><?xml version="1.0" encoding="utf-8"?>
<formControlPr xmlns="http://schemas.microsoft.com/office/spreadsheetml/2009/9/main" objectType="CheckBox" fmlaLink="O60" lockText="1"/>
</file>

<file path=xl/ctrlProps/ctrlProp144.xml><?xml version="1.0" encoding="utf-8"?>
<formControlPr xmlns="http://schemas.microsoft.com/office/spreadsheetml/2009/9/main" objectType="CheckBox" fmlaLink="P60" lockText="1"/>
</file>

<file path=xl/ctrlProps/ctrlProp145.xml><?xml version="1.0" encoding="utf-8"?>
<formControlPr xmlns="http://schemas.microsoft.com/office/spreadsheetml/2009/9/main" objectType="CheckBox" fmlaLink="O61" lockText="1"/>
</file>

<file path=xl/ctrlProps/ctrlProp146.xml><?xml version="1.0" encoding="utf-8"?>
<formControlPr xmlns="http://schemas.microsoft.com/office/spreadsheetml/2009/9/main" objectType="CheckBox" fmlaLink="P61" lockText="1"/>
</file>

<file path=xl/ctrlProps/ctrlProp147.xml><?xml version="1.0" encoding="utf-8"?>
<formControlPr xmlns="http://schemas.microsoft.com/office/spreadsheetml/2009/9/main" objectType="CheckBox" fmlaLink="O62" lockText="1"/>
</file>

<file path=xl/ctrlProps/ctrlProp148.xml><?xml version="1.0" encoding="utf-8"?>
<formControlPr xmlns="http://schemas.microsoft.com/office/spreadsheetml/2009/9/main" objectType="CheckBox" fmlaLink="P62" lockText="1"/>
</file>

<file path=xl/ctrlProps/ctrlProp149.xml><?xml version="1.0" encoding="utf-8"?>
<formControlPr xmlns="http://schemas.microsoft.com/office/spreadsheetml/2009/9/main" objectType="CheckBox" fmlaLink="O45" lockText="1"/>
</file>

<file path=xl/ctrlProps/ctrlProp15.xml><?xml version="1.0" encoding="utf-8"?>
<formControlPr xmlns="http://schemas.microsoft.com/office/spreadsheetml/2009/9/main" objectType="CheckBox" fmlaLink="$N$165" lockText="1"/>
</file>

<file path=xl/ctrlProps/ctrlProp150.xml><?xml version="1.0" encoding="utf-8"?>
<formControlPr xmlns="http://schemas.microsoft.com/office/spreadsheetml/2009/9/main" objectType="CheckBox" fmlaLink="P45" lockText="1"/>
</file>

<file path=xl/ctrlProps/ctrlProp151.xml><?xml version="1.0" encoding="utf-8"?>
<formControlPr xmlns="http://schemas.microsoft.com/office/spreadsheetml/2009/9/main" objectType="CheckBox" fmlaLink="O37" lockText="1"/>
</file>

<file path=xl/ctrlProps/ctrlProp152.xml><?xml version="1.0" encoding="utf-8"?>
<formControlPr xmlns="http://schemas.microsoft.com/office/spreadsheetml/2009/9/main" objectType="CheckBox" fmlaLink="P37" lockText="1"/>
</file>

<file path=xl/ctrlProps/ctrlProp153.xml><?xml version="1.0" encoding="utf-8"?>
<formControlPr xmlns="http://schemas.microsoft.com/office/spreadsheetml/2009/9/main" objectType="CheckBox" fmlaLink="O38" lockText="1"/>
</file>

<file path=xl/ctrlProps/ctrlProp154.xml><?xml version="1.0" encoding="utf-8"?>
<formControlPr xmlns="http://schemas.microsoft.com/office/spreadsheetml/2009/9/main" objectType="CheckBox" fmlaLink="P38" lockText="1"/>
</file>

<file path=xl/ctrlProps/ctrlProp155.xml><?xml version="1.0" encoding="utf-8"?>
<formControlPr xmlns="http://schemas.microsoft.com/office/spreadsheetml/2009/9/main" objectType="CheckBox" fmlaLink="O39" lockText="1"/>
</file>

<file path=xl/ctrlProps/ctrlProp156.xml><?xml version="1.0" encoding="utf-8"?>
<formControlPr xmlns="http://schemas.microsoft.com/office/spreadsheetml/2009/9/main" objectType="CheckBox" fmlaLink="P39" lockText="1"/>
</file>

<file path=xl/ctrlProps/ctrlProp157.xml><?xml version="1.0" encoding="utf-8"?>
<formControlPr xmlns="http://schemas.microsoft.com/office/spreadsheetml/2009/9/main" objectType="CheckBox" fmlaLink="O40" lockText="1"/>
</file>

<file path=xl/ctrlProps/ctrlProp158.xml><?xml version="1.0" encoding="utf-8"?>
<formControlPr xmlns="http://schemas.microsoft.com/office/spreadsheetml/2009/9/main" objectType="CheckBox" fmlaLink="P40" lockText="1"/>
</file>

<file path=xl/ctrlProps/ctrlProp159.xml><?xml version="1.0" encoding="utf-8"?>
<formControlPr xmlns="http://schemas.microsoft.com/office/spreadsheetml/2009/9/main" objectType="CheckBox" fmlaLink="O68" lockText="1"/>
</file>

<file path=xl/ctrlProps/ctrlProp16.xml><?xml version="1.0" encoding="utf-8"?>
<formControlPr xmlns="http://schemas.microsoft.com/office/spreadsheetml/2009/9/main" objectType="CheckBox" fmlaLink="$O$165" lockText="1"/>
</file>

<file path=xl/ctrlProps/ctrlProp160.xml><?xml version="1.0" encoding="utf-8"?>
<formControlPr xmlns="http://schemas.microsoft.com/office/spreadsheetml/2009/9/main" objectType="CheckBox" fmlaLink="P68" lockText="1"/>
</file>

<file path=xl/ctrlProps/ctrlProp161.xml><?xml version="1.0" encoding="utf-8"?>
<formControlPr xmlns="http://schemas.microsoft.com/office/spreadsheetml/2009/9/main" objectType="CheckBox" fmlaLink="O76" lockText="1"/>
</file>

<file path=xl/ctrlProps/ctrlProp162.xml><?xml version="1.0" encoding="utf-8"?>
<formControlPr xmlns="http://schemas.microsoft.com/office/spreadsheetml/2009/9/main" objectType="CheckBox" fmlaLink="P76" lockText="1"/>
</file>

<file path=xl/ctrlProps/ctrlProp163.xml><?xml version="1.0" encoding="utf-8"?>
<formControlPr xmlns="http://schemas.microsoft.com/office/spreadsheetml/2009/9/main" objectType="CheckBox" fmlaLink="Q76" lockText="1"/>
</file>

<file path=xl/ctrlProps/ctrlProp164.xml><?xml version="1.0" encoding="utf-8"?>
<formControlPr xmlns="http://schemas.microsoft.com/office/spreadsheetml/2009/9/main" objectType="CheckBox" fmlaLink="O77" lockText="1"/>
</file>

<file path=xl/ctrlProps/ctrlProp165.xml><?xml version="1.0" encoding="utf-8"?>
<formControlPr xmlns="http://schemas.microsoft.com/office/spreadsheetml/2009/9/main" objectType="CheckBox" fmlaLink="P77" lockText="1"/>
</file>

<file path=xl/ctrlProps/ctrlProp166.xml><?xml version="1.0" encoding="utf-8"?>
<formControlPr xmlns="http://schemas.microsoft.com/office/spreadsheetml/2009/9/main" objectType="CheckBox" fmlaLink="Q77" lockText="1"/>
</file>

<file path=xl/ctrlProps/ctrlProp167.xml><?xml version="1.0" encoding="utf-8"?>
<formControlPr xmlns="http://schemas.microsoft.com/office/spreadsheetml/2009/9/main" objectType="CheckBox" fmlaLink="O78" lockText="1"/>
</file>

<file path=xl/ctrlProps/ctrlProp168.xml><?xml version="1.0" encoding="utf-8"?>
<formControlPr xmlns="http://schemas.microsoft.com/office/spreadsheetml/2009/9/main" objectType="CheckBox" fmlaLink="P78" lockText="1"/>
</file>

<file path=xl/ctrlProps/ctrlProp169.xml><?xml version="1.0" encoding="utf-8"?>
<formControlPr xmlns="http://schemas.microsoft.com/office/spreadsheetml/2009/9/main" objectType="CheckBox" fmlaLink="Q78" lockText="1"/>
</file>

<file path=xl/ctrlProps/ctrlProp17.xml><?xml version="1.0" encoding="utf-8"?>
<formControlPr xmlns="http://schemas.microsoft.com/office/spreadsheetml/2009/9/main" objectType="CheckBox" fmlaLink="$P$165" lockText="1"/>
</file>

<file path=xl/ctrlProps/ctrlProp170.xml><?xml version="1.0" encoding="utf-8"?>
<formControlPr xmlns="http://schemas.microsoft.com/office/spreadsheetml/2009/9/main" objectType="CheckBox" fmlaLink="O87" lockText="1"/>
</file>

<file path=xl/ctrlProps/ctrlProp171.xml><?xml version="1.0" encoding="utf-8"?>
<formControlPr xmlns="http://schemas.microsoft.com/office/spreadsheetml/2009/9/main" objectType="CheckBox" fmlaLink="P87" lockText="1"/>
</file>

<file path=xl/ctrlProps/ctrlProp172.xml><?xml version="1.0" encoding="utf-8"?>
<formControlPr xmlns="http://schemas.microsoft.com/office/spreadsheetml/2009/9/main" objectType="CheckBox" fmlaLink="O88" lockText="1"/>
</file>

<file path=xl/ctrlProps/ctrlProp173.xml><?xml version="1.0" encoding="utf-8"?>
<formControlPr xmlns="http://schemas.microsoft.com/office/spreadsheetml/2009/9/main" objectType="CheckBox" fmlaLink="P88" lockText="1"/>
</file>

<file path=xl/ctrlProps/ctrlProp174.xml><?xml version="1.0" encoding="utf-8"?>
<formControlPr xmlns="http://schemas.microsoft.com/office/spreadsheetml/2009/9/main" objectType="CheckBox" fmlaLink="O89" lockText="1"/>
</file>

<file path=xl/ctrlProps/ctrlProp175.xml><?xml version="1.0" encoding="utf-8"?>
<formControlPr xmlns="http://schemas.microsoft.com/office/spreadsheetml/2009/9/main" objectType="CheckBox" fmlaLink="P89" lockText="1"/>
</file>

<file path=xl/ctrlProps/ctrlProp176.xml><?xml version="1.0" encoding="utf-8"?>
<formControlPr xmlns="http://schemas.microsoft.com/office/spreadsheetml/2009/9/main" objectType="CheckBox" fmlaLink="O90" lockText="1"/>
</file>

<file path=xl/ctrlProps/ctrlProp177.xml><?xml version="1.0" encoding="utf-8"?>
<formControlPr xmlns="http://schemas.microsoft.com/office/spreadsheetml/2009/9/main" objectType="CheckBox" fmlaLink="P90" lockText="1"/>
</file>

<file path=xl/ctrlProps/ctrlProp178.xml><?xml version="1.0" encoding="utf-8"?>
<formControlPr xmlns="http://schemas.microsoft.com/office/spreadsheetml/2009/9/main" objectType="CheckBox" fmlaLink="O93" lockText="1"/>
</file>

<file path=xl/ctrlProps/ctrlProp179.xml><?xml version="1.0" encoding="utf-8"?>
<formControlPr xmlns="http://schemas.microsoft.com/office/spreadsheetml/2009/9/main" objectType="CheckBox" fmlaLink="P93" lockText="1"/>
</file>

<file path=xl/ctrlProps/ctrlProp18.xml><?xml version="1.0" encoding="utf-8"?>
<formControlPr xmlns="http://schemas.microsoft.com/office/spreadsheetml/2009/9/main" objectType="CheckBox" fmlaLink="$P$94" lockText="1"/>
</file>

<file path=xl/ctrlProps/ctrlProp180.xml><?xml version="1.0" encoding="utf-8"?>
<formControlPr xmlns="http://schemas.microsoft.com/office/spreadsheetml/2009/9/main" objectType="CheckBox" fmlaLink="Q93" lockText="1"/>
</file>

<file path=xl/ctrlProps/ctrlProp181.xml><?xml version="1.0" encoding="utf-8"?>
<formControlPr xmlns="http://schemas.microsoft.com/office/spreadsheetml/2009/9/main" objectType="CheckBox" fmlaLink="O94" lockText="1"/>
</file>

<file path=xl/ctrlProps/ctrlProp182.xml><?xml version="1.0" encoding="utf-8"?>
<formControlPr xmlns="http://schemas.microsoft.com/office/spreadsheetml/2009/9/main" objectType="CheckBox" fmlaLink="P94" lockText="1"/>
</file>

<file path=xl/ctrlProps/ctrlProp183.xml><?xml version="1.0" encoding="utf-8"?>
<formControlPr xmlns="http://schemas.microsoft.com/office/spreadsheetml/2009/9/main" objectType="CheckBox" fmlaLink="Q94" lockText="1"/>
</file>

<file path=xl/ctrlProps/ctrlProp184.xml><?xml version="1.0" encoding="utf-8"?>
<formControlPr xmlns="http://schemas.microsoft.com/office/spreadsheetml/2009/9/main" objectType="CheckBox" fmlaLink="O95" lockText="1"/>
</file>

<file path=xl/ctrlProps/ctrlProp185.xml><?xml version="1.0" encoding="utf-8"?>
<formControlPr xmlns="http://schemas.microsoft.com/office/spreadsheetml/2009/9/main" objectType="CheckBox" fmlaLink="P95" lockText="1"/>
</file>

<file path=xl/ctrlProps/ctrlProp186.xml><?xml version="1.0" encoding="utf-8"?>
<formControlPr xmlns="http://schemas.microsoft.com/office/spreadsheetml/2009/9/main" objectType="CheckBox" fmlaLink="Q95" lockText="1"/>
</file>

<file path=xl/ctrlProps/ctrlProp187.xml><?xml version="1.0" encoding="utf-8"?>
<formControlPr xmlns="http://schemas.microsoft.com/office/spreadsheetml/2009/9/main" objectType="CheckBox" fmlaLink="O96" lockText="1"/>
</file>

<file path=xl/ctrlProps/ctrlProp188.xml><?xml version="1.0" encoding="utf-8"?>
<formControlPr xmlns="http://schemas.microsoft.com/office/spreadsheetml/2009/9/main" objectType="CheckBox" fmlaLink="P96" lockText="1"/>
</file>

<file path=xl/ctrlProps/ctrlProp189.xml><?xml version="1.0" encoding="utf-8"?>
<formControlPr xmlns="http://schemas.microsoft.com/office/spreadsheetml/2009/9/main" objectType="CheckBox" fmlaLink="Q96" lockText="1"/>
</file>

<file path=xl/ctrlProps/ctrlProp19.xml><?xml version="1.0" encoding="utf-8"?>
<formControlPr xmlns="http://schemas.microsoft.com/office/spreadsheetml/2009/9/main" objectType="CheckBox" fmlaLink="$N$104" lockText="1"/>
</file>

<file path=xl/ctrlProps/ctrlProp190.xml><?xml version="1.0" encoding="utf-8"?>
<formControlPr xmlns="http://schemas.microsoft.com/office/spreadsheetml/2009/9/main" objectType="CheckBox" fmlaLink="O98" lockText="1"/>
</file>

<file path=xl/ctrlProps/ctrlProp191.xml><?xml version="1.0" encoding="utf-8"?>
<formControlPr xmlns="http://schemas.microsoft.com/office/spreadsheetml/2009/9/main" objectType="CheckBox" fmlaLink="P98" lockText="1"/>
</file>

<file path=xl/ctrlProps/ctrlProp192.xml><?xml version="1.0" encoding="utf-8"?>
<formControlPr xmlns="http://schemas.microsoft.com/office/spreadsheetml/2009/9/main" objectType="CheckBox" fmlaLink="Q98" lockText="1"/>
</file>

<file path=xl/ctrlProps/ctrlProp193.xml><?xml version="1.0" encoding="utf-8"?>
<formControlPr xmlns="http://schemas.microsoft.com/office/spreadsheetml/2009/9/main" objectType="CheckBox" fmlaLink="O99" lockText="1"/>
</file>

<file path=xl/ctrlProps/ctrlProp194.xml><?xml version="1.0" encoding="utf-8"?>
<formControlPr xmlns="http://schemas.microsoft.com/office/spreadsheetml/2009/9/main" objectType="CheckBox" fmlaLink="P99" lockText="1"/>
</file>

<file path=xl/ctrlProps/ctrlProp195.xml><?xml version="1.0" encoding="utf-8"?>
<formControlPr xmlns="http://schemas.microsoft.com/office/spreadsheetml/2009/9/main" objectType="CheckBox" fmlaLink="Q99" lockText="1"/>
</file>

<file path=xl/ctrlProps/ctrlProp196.xml><?xml version="1.0" encoding="utf-8"?>
<formControlPr xmlns="http://schemas.microsoft.com/office/spreadsheetml/2009/9/main" objectType="CheckBox" fmlaLink="O100" lockText="1"/>
</file>

<file path=xl/ctrlProps/ctrlProp197.xml><?xml version="1.0" encoding="utf-8"?>
<formControlPr xmlns="http://schemas.microsoft.com/office/spreadsheetml/2009/9/main" objectType="CheckBox" fmlaLink="P100" lockText="1"/>
</file>

<file path=xl/ctrlProps/ctrlProp198.xml><?xml version="1.0" encoding="utf-8"?>
<formControlPr xmlns="http://schemas.microsoft.com/office/spreadsheetml/2009/9/main" objectType="CheckBox" fmlaLink="Q100" lockText="1"/>
</file>

<file path=xl/ctrlProps/ctrlProp199.xml><?xml version="1.0" encoding="utf-8"?>
<formControlPr xmlns="http://schemas.microsoft.com/office/spreadsheetml/2009/9/main" objectType="CheckBox" fmlaLink="O101" lockText="1"/>
</file>

<file path=xl/ctrlProps/ctrlProp2.xml><?xml version="1.0" encoding="utf-8"?>
<formControlPr xmlns="http://schemas.microsoft.com/office/spreadsheetml/2009/9/main" objectType="CheckBox" fmlaLink="$O$94" lockText="1"/>
</file>

<file path=xl/ctrlProps/ctrlProp20.xml><?xml version="1.0" encoding="utf-8"?>
<formControlPr xmlns="http://schemas.microsoft.com/office/spreadsheetml/2009/9/main" objectType="CheckBox" fmlaLink="$O$104" lockText="1"/>
</file>

<file path=xl/ctrlProps/ctrlProp200.xml><?xml version="1.0" encoding="utf-8"?>
<formControlPr xmlns="http://schemas.microsoft.com/office/spreadsheetml/2009/9/main" objectType="CheckBox" fmlaLink="P101" lockText="1"/>
</file>

<file path=xl/ctrlProps/ctrlProp201.xml><?xml version="1.0" encoding="utf-8"?>
<formControlPr xmlns="http://schemas.microsoft.com/office/spreadsheetml/2009/9/main" objectType="CheckBox" fmlaLink="Q101" lockText="1"/>
</file>

<file path=xl/ctrlProps/ctrlProp202.xml><?xml version="1.0" encoding="utf-8"?>
<formControlPr xmlns="http://schemas.microsoft.com/office/spreadsheetml/2009/9/main" objectType="CheckBox" fmlaLink="N9" lockText="1"/>
</file>

<file path=xl/ctrlProps/ctrlProp203.xml><?xml version="1.0" encoding="utf-8"?>
<formControlPr xmlns="http://schemas.microsoft.com/office/spreadsheetml/2009/9/main" objectType="CheckBox" fmlaLink="O9" lockText="1"/>
</file>

<file path=xl/ctrlProps/ctrlProp204.xml><?xml version="1.0" encoding="utf-8"?>
<formControlPr xmlns="http://schemas.microsoft.com/office/spreadsheetml/2009/9/main" objectType="CheckBox" fmlaLink="P9" lockText="1"/>
</file>

<file path=xl/ctrlProps/ctrlProp205.xml><?xml version="1.0" encoding="utf-8"?>
<formControlPr xmlns="http://schemas.microsoft.com/office/spreadsheetml/2009/9/main" objectType="CheckBox" fmlaLink="N11" lockText="1"/>
</file>

<file path=xl/ctrlProps/ctrlProp206.xml><?xml version="1.0" encoding="utf-8"?>
<formControlPr xmlns="http://schemas.microsoft.com/office/spreadsheetml/2009/9/main" objectType="CheckBox" fmlaLink="O11" lockText="1"/>
</file>

<file path=xl/ctrlProps/ctrlProp207.xml><?xml version="1.0" encoding="utf-8"?>
<formControlPr xmlns="http://schemas.microsoft.com/office/spreadsheetml/2009/9/main" objectType="CheckBox" fmlaLink="O110" lockText="1"/>
</file>

<file path=xl/ctrlProps/ctrlProp208.xml><?xml version="1.0" encoding="utf-8"?>
<formControlPr xmlns="http://schemas.microsoft.com/office/spreadsheetml/2009/9/main" objectType="CheckBox" fmlaLink="P110" lockText="1"/>
</file>

<file path=xl/ctrlProps/ctrlProp209.xml><?xml version="1.0" encoding="utf-8"?>
<formControlPr xmlns="http://schemas.microsoft.com/office/spreadsheetml/2009/9/main" objectType="CheckBox" fmlaLink="O69" lockText="1"/>
</file>

<file path=xl/ctrlProps/ctrlProp21.xml><?xml version="1.0" encoding="utf-8"?>
<formControlPr xmlns="http://schemas.microsoft.com/office/spreadsheetml/2009/9/main" objectType="CheckBox" fmlaLink="$N$59" lockText="1"/>
</file>

<file path=xl/ctrlProps/ctrlProp210.xml><?xml version="1.0" encoding="utf-8"?>
<formControlPr xmlns="http://schemas.microsoft.com/office/spreadsheetml/2009/9/main" objectType="CheckBox" fmlaLink="P69" lockText="1"/>
</file>

<file path=xl/ctrlProps/ctrlProp211.xml><?xml version="1.0" encoding="utf-8"?>
<formControlPr xmlns="http://schemas.microsoft.com/office/spreadsheetml/2009/9/main" objectType="CheckBox" fmlaLink="N66" lockText="1"/>
</file>

<file path=xl/ctrlProps/ctrlProp212.xml><?xml version="1.0" encoding="utf-8"?>
<formControlPr xmlns="http://schemas.microsoft.com/office/spreadsheetml/2009/9/main" objectType="CheckBox" fmlaLink="N45" lockText="1"/>
</file>

<file path=xl/ctrlProps/ctrlProp213.xml><?xml version="1.0" encoding="utf-8"?>
<formControlPr xmlns="http://schemas.microsoft.com/office/spreadsheetml/2009/9/main" objectType="CheckBox" fmlaLink="O45" lockText="1"/>
</file>

<file path=xl/ctrlProps/ctrlProp214.xml><?xml version="1.0" encoding="utf-8"?>
<formControlPr xmlns="http://schemas.microsoft.com/office/spreadsheetml/2009/9/main" objectType="CheckBox" fmlaLink="O66" lockText="1"/>
</file>

<file path=xl/ctrlProps/ctrlProp215.xml><?xml version="1.0" encoding="utf-8"?>
<formControlPr xmlns="http://schemas.microsoft.com/office/spreadsheetml/2009/9/main" objectType="CheckBox" fmlaLink="N46" lockText="1"/>
</file>

<file path=xl/ctrlProps/ctrlProp216.xml><?xml version="1.0" encoding="utf-8"?>
<formControlPr xmlns="http://schemas.microsoft.com/office/spreadsheetml/2009/9/main" objectType="CheckBox" fmlaLink="O46" lockText="1"/>
</file>

<file path=xl/ctrlProps/ctrlProp217.xml><?xml version="1.0" encoding="utf-8"?>
<formControlPr xmlns="http://schemas.microsoft.com/office/spreadsheetml/2009/9/main" objectType="CheckBox" fmlaLink="N54" lockText="1"/>
</file>

<file path=xl/ctrlProps/ctrlProp218.xml><?xml version="1.0" encoding="utf-8"?>
<formControlPr xmlns="http://schemas.microsoft.com/office/spreadsheetml/2009/9/main" objectType="CheckBox" fmlaLink="O54" lockText="1"/>
</file>

<file path=xl/ctrlProps/ctrlProp219.xml><?xml version="1.0" encoding="utf-8"?>
<formControlPr xmlns="http://schemas.microsoft.com/office/spreadsheetml/2009/9/main" objectType="CheckBox" fmlaLink="N55" lockText="1"/>
</file>

<file path=xl/ctrlProps/ctrlProp22.xml><?xml version="1.0" encoding="utf-8"?>
<formControlPr xmlns="http://schemas.microsoft.com/office/spreadsheetml/2009/9/main" objectType="CheckBox" fmlaLink="$O$59" lockText="1"/>
</file>

<file path=xl/ctrlProps/ctrlProp220.xml><?xml version="1.0" encoding="utf-8"?>
<formControlPr xmlns="http://schemas.microsoft.com/office/spreadsheetml/2009/9/main" objectType="CheckBox" fmlaLink="O55" lockText="1"/>
</file>

<file path=xl/ctrlProps/ctrlProp221.xml><?xml version="1.0" encoding="utf-8"?>
<formControlPr xmlns="http://schemas.microsoft.com/office/spreadsheetml/2009/9/main" objectType="CheckBox" fmlaLink="N67" lockText="1"/>
</file>

<file path=xl/ctrlProps/ctrlProp222.xml><?xml version="1.0" encoding="utf-8"?>
<formControlPr xmlns="http://schemas.microsoft.com/office/spreadsheetml/2009/9/main" objectType="CheckBox" fmlaLink="O67" lockText="1"/>
</file>

<file path=xl/ctrlProps/ctrlProp223.xml><?xml version="1.0" encoding="utf-8"?>
<formControlPr xmlns="http://schemas.microsoft.com/office/spreadsheetml/2009/9/main" objectType="CheckBox" fmlaLink="N68" lockText="1"/>
</file>

<file path=xl/ctrlProps/ctrlProp224.xml><?xml version="1.0" encoding="utf-8"?>
<formControlPr xmlns="http://schemas.microsoft.com/office/spreadsheetml/2009/9/main" objectType="CheckBox" fmlaLink="O68" lockText="1"/>
</file>

<file path=xl/ctrlProps/ctrlProp225.xml><?xml version="1.0" encoding="utf-8"?>
<formControlPr xmlns="http://schemas.microsoft.com/office/spreadsheetml/2009/9/main" objectType="CheckBox" fmlaLink="N120" lockText="1"/>
</file>

<file path=xl/ctrlProps/ctrlProp226.xml><?xml version="1.0" encoding="utf-8"?>
<formControlPr xmlns="http://schemas.microsoft.com/office/spreadsheetml/2009/9/main" objectType="CheckBox" fmlaLink="O120" lockText="1"/>
</file>

<file path=xl/ctrlProps/ctrlProp227.xml><?xml version="1.0" encoding="utf-8"?>
<formControlPr xmlns="http://schemas.microsoft.com/office/spreadsheetml/2009/9/main" objectType="CheckBox" fmlaLink="N121" lockText="1"/>
</file>

<file path=xl/ctrlProps/ctrlProp228.xml><?xml version="1.0" encoding="utf-8"?>
<formControlPr xmlns="http://schemas.microsoft.com/office/spreadsheetml/2009/9/main" objectType="CheckBox" fmlaLink="O121" lockText="1"/>
</file>

<file path=xl/ctrlProps/ctrlProp229.xml><?xml version="1.0" encoding="utf-8"?>
<formControlPr xmlns="http://schemas.microsoft.com/office/spreadsheetml/2009/9/main" objectType="CheckBox" fmlaLink="N122" lockText="1"/>
</file>

<file path=xl/ctrlProps/ctrlProp23.xml><?xml version="1.0" encoding="utf-8"?>
<formControlPr xmlns="http://schemas.microsoft.com/office/spreadsheetml/2009/9/main" objectType="CheckBox" fmlaLink="$N$75" lockText="1"/>
</file>

<file path=xl/ctrlProps/ctrlProp230.xml><?xml version="1.0" encoding="utf-8"?>
<formControlPr xmlns="http://schemas.microsoft.com/office/spreadsheetml/2009/9/main" objectType="CheckBox" fmlaLink="O122" lockText="1"/>
</file>

<file path=xl/ctrlProps/ctrlProp231.xml><?xml version="1.0" encoding="utf-8"?>
<formControlPr xmlns="http://schemas.microsoft.com/office/spreadsheetml/2009/9/main" objectType="CheckBox" fmlaLink="N96" lockText="1"/>
</file>

<file path=xl/ctrlProps/ctrlProp232.xml><?xml version="1.0" encoding="utf-8"?>
<formControlPr xmlns="http://schemas.microsoft.com/office/spreadsheetml/2009/9/main" objectType="CheckBox" fmlaLink="O96" lockText="1"/>
</file>

<file path=xl/ctrlProps/ctrlProp233.xml><?xml version="1.0" encoding="utf-8"?>
<formControlPr xmlns="http://schemas.microsoft.com/office/spreadsheetml/2009/9/main" objectType="CheckBox" fmlaLink="N97" lockText="1"/>
</file>

<file path=xl/ctrlProps/ctrlProp234.xml><?xml version="1.0" encoding="utf-8"?>
<formControlPr xmlns="http://schemas.microsoft.com/office/spreadsheetml/2009/9/main" objectType="CheckBox" fmlaLink="O97" lockText="1"/>
</file>

<file path=xl/ctrlProps/ctrlProp235.xml><?xml version="1.0" encoding="utf-8"?>
<formControlPr xmlns="http://schemas.microsoft.com/office/spreadsheetml/2009/9/main" objectType="CheckBox" fmlaLink="N114" lockText="1"/>
</file>

<file path=xl/ctrlProps/ctrlProp236.xml><?xml version="1.0" encoding="utf-8"?>
<formControlPr xmlns="http://schemas.microsoft.com/office/spreadsheetml/2009/9/main" objectType="CheckBox" fmlaLink="O114" lockText="1"/>
</file>

<file path=xl/ctrlProps/ctrlProp237.xml><?xml version="1.0" encoding="utf-8"?>
<formControlPr xmlns="http://schemas.microsoft.com/office/spreadsheetml/2009/9/main" objectType="CheckBox" fmlaLink="N123" lockText="1"/>
</file>

<file path=xl/ctrlProps/ctrlProp238.xml><?xml version="1.0" encoding="utf-8"?>
<formControlPr xmlns="http://schemas.microsoft.com/office/spreadsheetml/2009/9/main" objectType="CheckBox" fmlaLink="O123" lockText="1"/>
</file>

<file path=xl/ctrlProps/ctrlProp239.xml><?xml version="1.0" encoding="utf-8"?>
<formControlPr xmlns="http://schemas.microsoft.com/office/spreadsheetml/2009/9/main" objectType="CheckBox" fmlaLink="N14" lockText="1"/>
</file>

<file path=xl/ctrlProps/ctrlProp24.xml><?xml version="1.0" encoding="utf-8"?>
<formControlPr xmlns="http://schemas.microsoft.com/office/spreadsheetml/2009/9/main" objectType="CheckBox" fmlaLink="$O$75" lockText="1"/>
</file>

<file path=xl/ctrlProps/ctrlProp240.xml><?xml version="1.0" encoding="utf-8"?>
<formControlPr xmlns="http://schemas.microsoft.com/office/spreadsheetml/2009/9/main" objectType="CheckBox" fmlaLink="O14" lockText="1"/>
</file>

<file path=xl/ctrlProps/ctrlProp241.xml><?xml version="1.0" encoding="utf-8"?>
<formControlPr xmlns="http://schemas.microsoft.com/office/spreadsheetml/2009/9/main" objectType="CheckBox" fmlaLink="N23" lockText="1"/>
</file>

<file path=xl/ctrlProps/ctrlProp242.xml><?xml version="1.0" encoding="utf-8"?>
<formControlPr xmlns="http://schemas.microsoft.com/office/spreadsheetml/2009/9/main" objectType="CheckBox" fmlaLink="O23" lockText="1"/>
</file>

<file path=xl/ctrlProps/ctrlProp243.xml><?xml version="1.0" encoding="utf-8"?>
<formControlPr xmlns="http://schemas.microsoft.com/office/spreadsheetml/2009/9/main" objectType="CheckBox" fmlaLink="N9" lockText="1"/>
</file>

<file path=xl/ctrlProps/ctrlProp244.xml><?xml version="1.0" encoding="utf-8"?>
<formControlPr xmlns="http://schemas.microsoft.com/office/spreadsheetml/2009/9/main" objectType="CheckBox" fmlaLink="O9" lockText="1"/>
</file>

<file path=xl/ctrlProps/ctrlProp245.xml><?xml version="1.0" encoding="utf-8"?>
<formControlPr xmlns="http://schemas.microsoft.com/office/spreadsheetml/2009/9/main" objectType="CheckBox" fmlaLink="N21" lockText="1"/>
</file>

<file path=xl/ctrlProps/ctrlProp246.xml><?xml version="1.0" encoding="utf-8"?>
<formControlPr xmlns="http://schemas.microsoft.com/office/spreadsheetml/2009/9/main" objectType="CheckBox" fmlaLink="O21" lockText="1"/>
</file>

<file path=xl/ctrlProps/ctrlProp247.xml><?xml version="1.0" encoding="utf-8"?>
<formControlPr xmlns="http://schemas.microsoft.com/office/spreadsheetml/2009/9/main" objectType="CheckBox" fmlaLink="N34" lockText="1"/>
</file>

<file path=xl/ctrlProps/ctrlProp248.xml><?xml version="1.0" encoding="utf-8"?>
<formControlPr xmlns="http://schemas.microsoft.com/office/spreadsheetml/2009/9/main" objectType="CheckBox" fmlaLink="O34" lockText="1"/>
</file>

<file path=xl/ctrlProps/ctrlProp249.xml><?xml version="1.0" encoding="utf-8"?>
<formControlPr xmlns="http://schemas.microsoft.com/office/spreadsheetml/2009/9/main" objectType="CheckBox" fmlaLink="N24" lockText="1"/>
</file>

<file path=xl/ctrlProps/ctrlProp25.xml><?xml version="1.0" encoding="utf-8"?>
<formControlPr xmlns="http://schemas.microsoft.com/office/spreadsheetml/2009/9/main" objectType="CheckBox" fmlaLink="$N$122" lockText="1"/>
</file>

<file path=xl/ctrlProps/ctrlProp250.xml><?xml version="1.0" encoding="utf-8"?>
<formControlPr xmlns="http://schemas.microsoft.com/office/spreadsheetml/2009/9/main" objectType="CheckBox" fmlaLink="O24" lockText="1"/>
</file>

<file path=xl/ctrlProps/ctrlProp251.xml><?xml version="1.0" encoding="utf-8"?>
<formControlPr xmlns="http://schemas.microsoft.com/office/spreadsheetml/2009/9/main" objectType="CheckBox" fmlaLink="N37" lockText="1"/>
</file>

<file path=xl/ctrlProps/ctrlProp252.xml><?xml version="1.0" encoding="utf-8"?>
<formControlPr xmlns="http://schemas.microsoft.com/office/spreadsheetml/2009/9/main" objectType="CheckBox" fmlaLink="O37" lockText="1"/>
</file>

<file path=xl/ctrlProps/ctrlProp253.xml><?xml version="1.0" encoding="utf-8"?>
<formControlPr xmlns="http://schemas.microsoft.com/office/spreadsheetml/2009/9/main" objectType="CheckBox" fmlaLink="N38" lockText="1"/>
</file>

<file path=xl/ctrlProps/ctrlProp254.xml><?xml version="1.0" encoding="utf-8"?>
<formControlPr xmlns="http://schemas.microsoft.com/office/spreadsheetml/2009/9/main" objectType="CheckBox" fmlaLink="O38" lockText="1"/>
</file>

<file path=xl/ctrlProps/ctrlProp255.xml><?xml version="1.0" encoding="utf-8"?>
<formControlPr xmlns="http://schemas.microsoft.com/office/spreadsheetml/2009/9/main" objectType="CheckBox" fmlaLink="N36" lockText="1"/>
</file>

<file path=xl/ctrlProps/ctrlProp256.xml><?xml version="1.0" encoding="utf-8"?>
<formControlPr xmlns="http://schemas.microsoft.com/office/spreadsheetml/2009/9/main" objectType="CheckBox" fmlaLink="O36" lockText="1"/>
</file>

<file path=xl/ctrlProps/ctrlProp257.xml><?xml version="1.0" encoding="utf-8"?>
<formControlPr xmlns="http://schemas.microsoft.com/office/spreadsheetml/2009/9/main" objectType="CheckBox" fmlaLink="N46" lockText="1"/>
</file>

<file path=xl/ctrlProps/ctrlProp258.xml><?xml version="1.0" encoding="utf-8"?>
<formControlPr xmlns="http://schemas.microsoft.com/office/spreadsheetml/2009/9/main" objectType="CheckBox" fmlaLink="O46" lockText="1"/>
</file>

<file path=xl/ctrlProps/ctrlProp259.xml><?xml version="1.0" encoding="utf-8"?>
<formControlPr xmlns="http://schemas.microsoft.com/office/spreadsheetml/2009/9/main" objectType="CheckBox" fmlaLink="$N$39" lockText="1"/>
</file>

<file path=xl/ctrlProps/ctrlProp26.xml><?xml version="1.0" encoding="utf-8"?>
<formControlPr xmlns="http://schemas.microsoft.com/office/spreadsheetml/2009/9/main" objectType="CheckBox" fmlaLink="$O$122" lockText="1"/>
</file>

<file path=xl/ctrlProps/ctrlProp260.xml><?xml version="1.0" encoding="utf-8"?>
<formControlPr xmlns="http://schemas.microsoft.com/office/spreadsheetml/2009/9/main" objectType="CheckBox" fmlaLink="O39" lockText="1"/>
</file>

<file path=xl/ctrlProps/ctrlProp27.xml><?xml version="1.0" encoding="utf-8"?>
<formControlPr xmlns="http://schemas.microsoft.com/office/spreadsheetml/2009/9/main" objectType="CheckBox" fmlaLink="$N$123" lockText="1"/>
</file>

<file path=xl/ctrlProps/ctrlProp28.xml><?xml version="1.0" encoding="utf-8"?>
<formControlPr xmlns="http://schemas.microsoft.com/office/spreadsheetml/2009/9/main" objectType="CheckBox" fmlaLink="$O$123" lockText="1"/>
</file>

<file path=xl/ctrlProps/ctrlProp29.xml><?xml version="1.0" encoding="utf-8"?>
<formControlPr xmlns="http://schemas.microsoft.com/office/spreadsheetml/2009/9/main" objectType="CheckBox" fmlaLink="$N$124" lockText="1"/>
</file>

<file path=xl/ctrlProps/ctrlProp3.xml><?xml version="1.0" encoding="utf-8"?>
<formControlPr xmlns="http://schemas.microsoft.com/office/spreadsheetml/2009/9/main" objectType="CheckBox" fmlaLink="$N$157" lockText="1"/>
</file>

<file path=xl/ctrlProps/ctrlProp30.xml><?xml version="1.0" encoding="utf-8"?>
<formControlPr xmlns="http://schemas.microsoft.com/office/spreadsheetml/2009/9/main" objectType="CheckBox" fmlaLink="$O$124" lockText="1"/>
</file>

<file path=xl/ctrlProps/ctrlProp31.xml><?xml version="1.0" encoding="utf-8"?>
<formControlPr xmlns="http://schemas.microsoft.com/office/spreadsheetml/2009/9/main" objectType="CheckBox" fmlaLink="$N$125" lockText="1"/>
</file>

<file path=xl/ctrlProps/ctrlProp32.xml><?xml version="1.0" encoding="utf-8"?>
<formControlPr xmlns="http://schemas.microsoft.com/office/spreadsheetml/2009/9/main" objectType="CheckBox" fmlaLink="$O$125" lockText="1"/>
</file>

<file path=xl/ctrlProps/ctrlProp33.xml><?xml version="1.0" encoding="utf-8"?>
<formControlPr xmlns="http://schemas.microsoft.com/office/spreadsheetml/2009/9/main" objectType="CheckBox" fmlaLink="$N$126" lockText="1"/>
</file>

<file path=xl/ctrlProps/ctrlProp34.xml><?xml version="1.0" encoding="utf-8"?>
<formControlPr xmlns="http://schemas.microsoft.com/office/spreadsheetml/2009/9/main" objectType="CheckBox" fmlaLink="$O$126" lockText="1"/>
</file>

<file path=xl/ctrlProps/ctrlProp35.xml><?xml version="1.0" encoding="utf-8"?>
<formControlPr xmlns="http://schemas.microsoft.com/office/spreadsheetml/2009/9/main" objectType="CheckBox" fmlaLink="$N$131" lockText="1"/>
</file>

<file path=xl/ctrlProps/ctrlProp36.xml><?xml version="1.0" encoding="utf-8"?>
<formControlPr xmlns="http://schemas.microsoft.com/office/spreadsheetml/2009/9/main" objectType="CheckBox" fmlaLink="$O$131" lockText="1"/>
</file>

<file path=xl/ctrlProps/ctrlProp37.xml><?xml version="1.0" encoding="utf-8"?>
<formControlPr xmlns="http://schemas.microsoft.com/office/spreadsheetml/2009/9/main" objectType="CheckBox" fmlaLink="$N$150" lockText="1"/>
</file>

<file path=xl/ctrlProps/ctrlProp38.xml><?xml version="1.0" encoding="utf-8"?>
<formControlPr xmlns="http://schemas.microsoft.com/office/spreadsheetml/2009/9/main" objectType="CheckBox" fmlaLink="$O$150" lockText="1"/>
</file>

<file path=xl/ctrlProps/ctrlProp39.xml><?xml version="1.0" encoding="utf-8"?>
<formControlPr xmlns="http://schemas.microsoft.com/office/spreadsheetml/2009/9/main" objectType="CheckBox" fmlaLink="$N$111" lockText="1"/>
</file>

<file path=xl/ctrlProps/ctrlProp4.xml><?xml version="1.0" encoding="utf-8"?>
<formControlPr xmlns="http://schemas.microsoft.com/office/spreadsheetml/2009/9/main" objectType="CheckBox" fmlaLink="$O$157" lockText="1"/>
</file>

<file path=xl/ctrlProps/ctrlProp40.xml><?xml version="1.0" encoding="utf-8"?>
<formControlPr xmlns="http://schemas.microsoft.com/office/spreadsheetml/2009/9/main" objectType="CheckBox" fmlaLink="$O$111" lockText="1"/>
</file>

<file path=xl/ctrlProps/ctrlProp41.xml><?xml version="1.0" encoding="utf-8"?>
<formControlPr xmlns="http://schemas.microsoft.com/office/spreadsheetml/2009/9/main" objectType="CheckBox" fmlaLink="$N$171" lockText="1"/>
</file>

<file path=xl/ctrlProps/ctrlProp42.xml><?xml version="1.0" encoding="utf-8"?>
<formControlPr xmlns="http://schemas.microsoft.com/office/spreadsheetml/2009/9/main" objectType="CheckBox" fmlaLink="$O$171" lockText="1"/>
</file>

<file path=xl/ctrlProps/ctrlProp43.xml><?xml version="1.0" encoding="utf-8"?>
<formControlPr xmlns="http://schemas.microsoft.com/office/spreadsheetml/2009/9/main" objectType="CheckBox" fmlaLink="$N$166" lockText="1"/>
</file>

<file path=xl/ctrlProps/ctrlProp44.xml><?xml version="1.0" encoding="utf-8"?>
<formControlPr xmlns="http://schemas.microsoft.com/office/spreadsheetml/2009/9/main" objectType="CheckBox" fmlaLink="$O$166" lockText="1"/>
</file>

<file path=xl/ctrlProps/ctrlProp45.xml><?xml version="1.0" encoding="utf-8"?>
<formControlPr xmlns="http://schemas.microsoft.com/office/spreadsheetml/2009/9/main" objectType="CheckBox" fmlaLink="$P$166" lockText="1"/>
</file>

<file path=xl/ctrlProps/ctrlProp46.xml><?xml version="1.0" encoding="utf-8"?>
<formControlPr xmlns="http://schemas.microsoft.com/office/spreadsheetml/2009/9/main" objectType="CheckBox" fmlaLink="$N$135" lockText="1"/>
</file>

<file path=xl/ctrlProps/ctrlProp47.xml><?xml version="1.0" encoding="utf-8"?>
<formControlPr xmlns="http://schemas.microsoft.com/office/spreadsheetml/2009/9/main" objectType="CheckBox" fmlaLink="$O$135" lockText="1"/>
</file>

<file path=xl/ctrlProps/ctrlProp48.xml><?xml version="1.0" encoding="utf-8"?>
<formControlPr xmlns="http://schemas.microsoft.com/office/spreadsheetml/2009/9/main" objectType="CheckBox" fmlaLink="N23" lockText="1"/>
</file>

<file path=xl/ctrlProps/ctrlProp49.xml><?xml version="1.0" encoding="utf-8"?>
<formControlPr xmlns="http://schemas.microsoft.com/office/spreadsheetml/2009/9/main" objectType="CheckBox" fmlaLink="O23" lockText="1"/>
</file>

<file path=xl/ctrlProps/ctrlProp5.xml><?xml version="1.0" encoding="utf-8"?>
<formControlPr xmlns="http://schemas.microsoft.com/office/spreadsheetml/2009/9/main" objectType="CheckBox" fmlaLink="$N$159" lockText="1"/>
</file>

<file path=xl/ctrlProps/ctrlProp50.xml><?xml version="1.0" encoding="utf-8"?>
<formControlPr xmlns="http://schemas.microsoft.com/office/spreadsheetml/2009/9/main" objectType="CheckBox" fmlaLink="N33" lockText="1"/>
</file>

<file path=xl/ctrlProps/ctrlProp51.xml><?xml version="1.0" encoding="utf-8"?>
<formControlPr xmlns="http://schemas.microsoft.com/office/spreadsheetml/2009/9/main" objectType="CheckBox" fmlaLink="O33" lockText="1"/>
</file>

<file path=xl/ctrlProps/ctrlProp52.xml><?xml version="1.0" encoding="utf-8"?>
<formControlPr xmlns="http://schemas.microsoft.com/office/spreadsheetml/2009/9/main" objectType="CheckBox" fmlaLink="$N$73" lockText="1"/>
</file>

<file path=xl/ctrlProps/ctrlProp53.xml><?xml version="1.0" encoding="utf-8"?>
<formControlPr xmlns="http://schemas.microsoft.com/office/spreadsheetml/2009/9/main" objectType="CheckBox" fmlaLink="$O$73" lockText="1"/>
</file>

<file path=xl/ctrlProps/ctrlProp54.xml><?xml version="1.0" encoding="utf-8"?>
<formControlPr xmlns="http://schemas.microsoft.com/office/spreadsheetml/2009/9/main" objectType="CheckBox" fmlaLink="$N$114" lockText="1"/>
</file>

<file path=xl/ctrlProps/ctrlProp55.xml><?xml version="1.0" encoding="utf-8"?>
<formControlPr xmlns="http://schemas.microsoft.com/office/spreadsheetml/2009/9/main" objectType="CheckBox" fmlaLink="$O$114" lockText="1"/>
</file>

<file path=xl/ctrlProps/ctrlProp56.xml><?xml version="1.0" encoding="utf-8"?>
<formControlPr xmlns="http://schemas.microsoft.com/office/spreadsheetml/2009/9/main" objectType="CheckBox" fmlaLink="W12" lockText="1"/>
</file>

<file path=xl/ctrlProps/ctrlProp57.xml><?xml version="1.0" encoding="utf-8"?>
<formControlPr xmlns="http://schemas.microsoft.com/office/spreadsheetml/2009/9/main" objectType="CheckBox" fmlaLink="Y12" lockText="1"/>
</file>

<file path=xl/ctrlProps/ctrlProp58.xml><?xml version="1.0" encoding="utf-8"?>
<formControlPr xmlns="http://schemas.microsoft.com/office/spreadsheetml/2009/9/main" objectType="CheckBox" fmlaLink="Z12" lockText="1"/>
</file>

<file path=xl/ctrlProps/ctrlProp59.xml><?xml version="1.0" encoding="utf-8"?>
<formControlPr xmlns="http://schemas.microsoft.com/office/spreadsheetml/2009/9/main" objectType="CheckBox" fmlaLink="V13" lockText="1"/>
</file>

<file path=xl/ctrlProps/ctrlProp6.xml><?xml version="1.0" encoding="utf-8"?>
<formControlPr xmlns="http://schemas.microsoft.com/office/spreadsheetml/2009/9/main" objectType="CheckBox" fmlaLink="$O$159" lockText="1"/>
</file>

<file path=xl/ctrlProps/ctrlProp60.xml><?xml version="1.0" encoding="utf-8"?>
<formControlPr xmlns="http://schemas.microsoft.com/office/spreadsheetml/2009/9/main" objectType="CheckBox" fmlaLink="W13" lockText="1"/>
</file>

<file path=xl/ctrlProps/ctrlProp61.xml><?xml version="1.0" encoding="utf-8"?>
<formControlPr xmlns="http://schemas.microsoft.com/office/spreadsheetml/2009/9/main" objectType="CheckBox" fmlaLink="Y13" lockText="1"/>
</file>

<file path=xl/ctrlProps/ctrlProp62.xml><?xml version="1.0" encoding="utf-8"?>
<formControlPr xmlns="http://schemas.microsoft.com/office/spreadsheetml/2009/9/main" objectType="CheckBox" fmlaLink="Z13" lockText="1"/>
</file>

<file path=xl/ctrlProps/ctrlProp63.xml><?xml version="1.0" encoding="utf-8"?>
<formControlPr xmlns="http://schemas.microsoft.com/office/spreadsheetml/2009/9/main" objectType="CheckBox" fmlaLink="V14" lockText="1"/>
</file>

<file path=xl/ctrlProps/ctrlProp64.xml><?xml version="1.0" encoding="utf-8"?>
<formControlPr xmlns="http://schemas.microsoft.com/office/spreadsheetml/2009/9/main" objectType="CheckBox" fmlaLink="W14" lockText="1"/>
</file>

<file path=xl/ctrlProps/ctrlProp65.xml><?xml version="1.0" encoding="utf-8"?>
<formControlPr xmlns="http://schemas.microsoft.com/office/spreadsheetml/2009/9/main" objectType="CheckBox" fmlaLink="Y14" lockText="1"/>
</file>

<file path=xl/ctrlProps/ctrlProp66.xml><?xml version="1.0" encoding="utf-8"?>
<formControlPr xmlns="http://schemas.microsoft.com/office/spreadsheetml/2009/9/main" objectType="CheckBox" fmlaLink="Z14" lockText="1"/>
</file>

<file path=xl/ctrlProps/ctrlProp67.xml><?xml version="1.0" encoding="utf-8"?>
<formControlPr xmlns="http://schemas.microsoft.com/office/spreadsheetml/2009/9/main" objectType="CheckBox" fmlaLink="V15" lockText="1"/>
</file>

<file path=xl/ctrlProps/ctrlProp68.xml><?xml version="1.0" encoding="utf-8"?>
<formControlPr xmlns="http://schemas.microsoft.com/office/spreadsheetml/2009/9/main" objectType="CheckBox" fmlaLink="W15" lockText="1"/>
</file>

<file path=xl/ctrlProps/ctrlProp69.xml><?xml version="1.0" encoding="utf-8"?>
<formControlPr xmlns="http://schemas.microsoft.com/office/spreadsheetml/2009/9/main" objectType="CheckBox" fmlaLink="Y15" lockText="1"/>
</file>

<file path=xl/ctrlProps/ctrlProp7.xml><?xml version="1.0" encoding="utf-8"?>
<formControlPr xmlns="http://schemas.microsoft.com/office/spreadsheetml/2009/9/main" objectType="CheckBox" fmlaLink="$N$160" lockText="1"/>
</file>

<file path=xl/ctrlProps/ctrlProp70.xml><?xml version="1.0" encoding="utf-8"?>
<formControlPr xmlns="http://schemas.microsoft.com/office/spreadsheetml/2009/9/main" objectType="CheckBox" fmlaLink="Z15" lockText="1"/>
</file>

<file path=xl/ctrlProps/ctrlProp71.xml><?xml version="1.0" encoding="utf-8"?>
<formControlPr xmlns="http://schemas.microsoft.com/office/spreadsheetml/2009/9/main" objectType="CheckBox" fmlaLink="V23" lockText="1"/>
</file>

<file path=xl/ctrlProps/ctrlProp72.xml><?xml version="1.0" encoding="utf-8"?>
<formControlPr xmlns="http://schemas.microsoft.com/office/spreadsheetml/2009/9/main" objectType="CheckBox" fmlaLink="W23" lockText="1"/>
</file>

<file path=xl/ctrlProps/ctrlProp73.xml><?xml version="1.0" encoding="utf-8"?>
<formControlPr xmlns="http://schemas.microsoft.com/office/spreadsheetml/2009/9/main" objectType="CheckBox" fmlaLink="Y23" lockText="1"/>
</file>

<file path=xl/ctrlProps/ctrlProp74.xml><?xml version="1.0" encoding="utf-8"?>
<formControlPr xmlns="http://schemas.microsoft.com/office/spreadsheetml/2009/9/main" objectType="CheckBox" fmlaLink="Z23" lockText="1"/>
</file>

<file path=xl/ctrlProps/ctrlProp75.xml><?xml version="1.0" encoding="utf-8"?>
<formControlPr xmlns="http://schemas.microsoft.com/office/spreadsheetml/2009/9/main" objectType="CheckBox" fmlaLink="V24" lockText="1"/>
</file>

<file path=xl/ctrlProps/ctrlProp76.xml><?xml version="1.0" encoding="utf-8"?>
<formControlPr xmlns="http://schemas.microsoft.com/office/spreadsheetml/2009/9/main" objectType="CheckBox" fmlaLink="W24" lockText="1"/>
</file>

<file path=xl/ctrlProps/ctrlProp77.xml><?xml version="1.0" encoding="utf-8"?>
<formControlPr xmlns="http://schemas.microsoft.com/office/spreadsheetml/2009/9/main" objectType="CheckBox" fmlaLink="Y24" lockText="1"/>
</file>

<file path=xl/ctrlProps/ctrlProp78.xml><?xml version="1.0" encoding="utf-8"?>
<formControlPr xmlns="http://schemas.microsoft.com/office/spreadsheetml/2009/9/main" objectType="CheckBox" fmlaLink="Z24" lockText="1"/>
</file>

<file path=xl/ctrlProps/ctrlProp79.xml><?xml version="1.0" encoding="utf-8"?>
<formControlPr xmlns="http://schemas.microsoft.com/office/spreadsheetml/2009/9/main" objectType="CheckBox" fmlaLink="V25" lockText="1"/>
</file>

<file path=xl/ctrlProps/ctrlProp8.xml><?xml version="1.0" encoding="utf-8"?>
<formControlPr xmlns="http://schemas.microsoft.com/office/spreadsheetml/2009/9/main" objectType="CheckBox" fmlaLink="$O$160" lockText="1"/>
</file>

<file path=xl/ctrlProps/ctrlProp80.xml><?xml version="1.0" encoding="utf-8"?>
<formControlPr xmlns="http://schemas.microsoft.com/office/spreadsheetml/2009/9/main" objectType="CheckBox" fmlaLink="W25" lockText="1"/>
</file>

<file path=xl/ctrlProps/ctrlProp81.xml><?xml version="1.0" encoding="utf-8"?>
<formControlPr xmlns="http://schemas.microsoft.com/office/spreadsheetml/2009/9/main" objectType="CheckBox" fmlaLink="Y25" lockText="1"/>
</file>

<file path=xl/ctrlProps/ctrlProp82.xml><?xml version="1.0" encoding="utf-8"?>
<formControlPr xmlns="http://schemas.microsoft.com/office/spreadsheetml/2009/9/main" objectType="CheckBox" fmlaLink="Z25" lockText="1"/>
</file>

<file path=xl/ctrlProps/ctrlProp83.xml><?xml version="1.0" encoding="utf-8"?>
<formControlPr xmlns="http://schemas.microsoft.com/office/spreadsheetml/2009/9/main" objectType="CheckBox" fmlaLink="V26" lockText="1"/>
</file>

<file path=xl/ctrlProps/ctrlProp84.xml><?xml version="1.0" encoding="utf-8"?>
<formControlPr xmlns="http://schemas.microsoft.com/office/spreadsheetml/2009/9/main" objectType="CheckBox" fmlaLink="W26" lockText="1"/>
</file>

<file path=xl/ctrlProps/ctrlProp85.xml><?xml version="1.0" encoding="utf-8"?>
<formControlPr xmlns="http://schemas.microsoft.com/office/spreadsheetml/2009/9/main" objectType="CheckBox" fmlaLink="Y26" lockText="1"/>
</file>

<file path=xl/ctrlProps/ctrlProp86.xml><?xml version="1.0" encoding="utf-8"?>
<formControlPr xmlns="http://schemas.microsoft.com/office/spreadsheetml/2009/9/main" objectType="CheckBox" fmlaLink="Z26" lockText="1"/>
</file>

<file path=xl/ctrlProps/ctrlProp87.xml><?xml version="1.0" encoding="utf-8"?>
<formControlPr xmlns="http://schemas.microsoft.com/office/spreadsheetml/2009/9/main" objectType="CheckBox" fmlaLink="N31" lockText="1"/>
</file>

<file path=xl/ctrlProps/ctrlProp88.xml><?xml version="1.0" encoding="utf-8"?>
<formControlPr xmlns="http://schemas.microsoft.com/office/spreadsheetml/2009/9/main" objectType="CheckBox" fmlaLink="O31" lockText="1"/>
</file>

<file path=xl/ctrlProps/ctrlProp89.xml><?xml version="1.0" encoding="utf-8"?>
<formControlPr xmlns="http://schemas.microsoft.com/office/spreadsheetml/2009/9/main" objectType="CheckBox" fmlaLink="N74" lockText="1"/>
</file>

<file path=xl/ctrlProps/ctrlProp9.xml><?xml version="1.0" encoding="utf-8"?>
<formControlPr xmlns="http://schemas.microsoft.com/office/spreadsheetml/2009/9/main" objectType="CheckBox" fmlaLink="$N$161" lockText="1"/>
</file>

<file path=xl/ctrlProps/ctrlProp90.xml><?xml version="1.0" encoding="utf-8"?>
<formControlPr xmlns="http://schemas.microsoft.com/office/spreadsheetml/2009/9/main" objectType="CheckBox" fmlaLink="O74" lockText="1"/>
</file>

<file path=xl/ctrlProps/ctrlProp91.xml><?xml version="1.0" encoding="utf-8"?>
<formControlPr xmlns="http://schemas.microsoft.com/office/spreadsheetml/2009/9/main" objectType="CheckBox" fmlaLink="N75" lockText="1"/>
</file>

<file path=xl/ctrlProps/ctrlProp92.xml><?xml version="1.0" encoding="utf-8"?>
<formControlPr xmlns="http://schemas.microsoft.com/office/spreadsheetml/2009/9/main" objectType="CheckBox" fmlaLink="O75" lockText="1"/>
</file>

<file path=xl/ctrlProps/ctrlProp93.xml><?xml version="1.0" encoding="utf-8"?>
<formControlPr xmlns="http://schemas.microsoft.com/office/spreadsheetml/2009/9/main" objectType="CheckBox" fmlaLink="N76" lockText="1"/>
</file>

<file path=xl/ctrlProps/ctrlProp94.xml><?xml version="1.0" encoding="utf-8"?>
<formControlPr xmlns="http://schemas.microsoft.com/office/spreadsheetml/2009/9/main" objectType="CheckBox" fmlaLink="O76" lockText="1"/>
</file>

<file path=xl/ctrlProps/ctrlProp95.xml><?xml version="1.0" encoding="utf-8"?>
<formControlPr xmlns="http://schemas.microsoft.com/office/spreadsheetml/2009/9/main" objectType="CheckBox" fmlaLink="N53" lockText="1"/>
</file>

<file path=xl/ctrlProps/ctrlProp96.xml><?xml version="1.0" encoding="utf-8"?>
<formControlPr xmlns="http://schemas.microsoft.com/office/spreadsheetml/2009/9/main" objectType="CheckBox" fmlaLink="O53" lockText="1"/>
</file>

<file path=xl/ctrlProps/ctrlProp97.xml><?xml version="1.0" encoding="utf-8"?>
<formControlPr xmlns="http://schemas.microsoft.com/office/spreadsheetml/2009/9/main" objectType="CheckBox" fmlaLink="N60" lockText="1"/>
</file>

<file path=xl/ctrlProps/ctrlProp98.xml><?xml version="1.0" encoding="utf-8"?>
<formControlPr xmlns="http://schemas.microsoft.com/office/spreadsheetml/2009/9/main" objectType="CheckBox" fmlaLink="O60" lockText="1"/>
</file>

<file path=xl/ctrlProps/ctrlProp99.xml><?xml version="1.0" encoding="utf-8"?>
<formControlPr xmlns="http://schemas.microsoft.com/office/spreadsheetml/2009/9/main" objectType="CheckBox" fmlaLink="P60"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714375</xdr:colOff>
          <xdr:row>93</xdr:row>
          <xdr:rowOff>9525</xdr:rowOff>
        </xdr:from>
        <xdr:to>
          <xdr:col>2</xdr:col>
          <xdr:colOff>1343025</xdr:colOff>
          <xdr:row>94</xdr:row>
          <xdr:rowOff>9525</xdr:rowOff>
        </xdr:to>
        <xdr:sp macro="" textlink="">
          <xdr:nvSpPr>
            <xdr:cNvPr id="61443" name="Check Box 3" hidden="1">
              <a:extLst>
                <a:ext uri="{63B3BB69-23CF-44E3-9099-C40C66FF867C}">
                  <a14:compatExt spid="_x0000_s61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1457325</xdr:colOff>
          <xdr:row>93</xdr:row>
          <xdr:rowOff>9525</xdr:rowOff>
        </xdr:from>
        <xdr:to>
          <xdr:col>2</xdr:col>
          <xdr:colOff>2085975</xdr:colOff>
          <xdr:row>94</xdr:row>
          <xdr:rowOff>9525</xdr:rowOff>
        </xdr:to>
        <xdr:sp macro="" textlink="">
          <xdr:nvSpPr>
            <xdr:cNvPr id="61444" name="Check Box 4" hidden="1">
              <a:extLst>
                <a:ext uri="{63B3BB69-23CF-44E3-9099-C40C66FF867C}">
                  <a14:compatExt spid="_x0000_s61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990600</xdr:colOff>
          <xdr:row>156</xdr:row>
          <xdr:rowOff>9525</xdr:rowOff>
        </xdr:from>
        <xdr:to>
          <xdr:col>2</xdr:col>
          <xdr:colOff>1885950</xdr:colOff>
          <xdr:row>157</xdr:row>
          <xdr:rowOff>0</xdr:rowOff>
        </xdr:to>
        <xdr:sp macro="" textlink="">
          <xdr:nvSpPr>
            <xdr:cNvPr id="61457" name="Check Box 17" hidden="1">
              <a:extLst>
                <a:ext uri="{63B3BB69-23CF-44E3-9099-C40C66FF867C}">
                  <a14:compatExt spid="_x0000_s61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2000250</xdr:colOff>
          <xdr:row>156</xdr:row>
          <xdr:rowOff>9525</xdr:rowOff>
        </xdr:from>
        <xdr:to>
          <xdr:col>2</xdr:col>
          <xdr:colOff>2895600</xdr:colOff>
          <xdr:row>157</xdr:row>
          <xdr:rowOff>0</xdr:rowOff>
        </xdr:to>
        <xdr:sp macro="" textlink="">
          <xdr:nvSpPr>
            <xdr:cNvPr id="61458" name="Check Box 18" hidden="1">
              <a:extLst>
                <a:ext uri="{63B3BB69-23CF-44E3-9099-C40C66FF867C}">
                  <a14:compatExt spid="_x0000_s61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990600</xdr:colOff>
          <xdr:row>158</xdr:row>
          <xdr:rowOff>9525</xdr:rowOff>
        </xdr:from>
        <xdr:to>
          <xdr:col>2</xdr:col>
          <xdr:colOff>1885950</xdr:colOff>
          <xdr:row>159</xdr:row>
          <xdr:rowOff>9525</xdr:rowOff>
        </xdr:to>
        <xdr:sp macro="" textlink="">
          <xdr:nvSpPr>
            <xdr:cNvPr id="61459" name="Check Box 19" hidden="1">
              <a:extLst>
                <a:ext uri="{63B3BB69-23CF-44E3-9099-C40C66FF867C}">
                  <a14:compatExt spid="_x0000_s61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2000250</xdr:colOff>
          <xdr:row>158</xdr:row>
          <xdr:rowOff>9525</xdr:rowOff>
        </xdr:from>
        <xdr:to>
          <xdr:col>2</xdr:col>
          <xdr:colOff>2676525</xdr:colOff>
          <xdr:row>159</xdr:row>
          <xdr:rowOff>9525</xdr:rowOff>
        </xdr:to>
        <xdr:sp macro="" textlink="">
          <xdr:nvSpPr>
            <xdr:cNvPr id="61460" name="Check Box 20" hidden="1">
              <a:extLst>
                <a:ext uri="{63B3BB69-23CF-44E3-9099-C40C66FF867C}">
                  <a14:compatExt spid="_x0000_s61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990600</xdr:colOff>
          <xdr:row>159</xdr:row>
          <xdr:rowOff>9525</xdr:rowOff>
        </xdr:from>
        <xdr:to>
          <xdr:col>2</xdr:col>
          <xdr:colOff>1885950</xdr:colOff>
          <xdr:row>160</xdr:row>
          <xdr:rowOff>9525</xdr:rowOff>
        </xdr:to>
        <xdr:sp macro="" textlink="">
          <xdr:nvSpPr>
            <xdr:cNvPr id="61461" name="Check Box 21" hidden="1">
              <a:extLst>
                <a:ext uri="{63B3BB69-23CF-44E3-9099-C40C66FF867C}">
                  <a14:compatExt spid="_x0000_s61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2000250</xdr:colOff>
          <xdr:row>159</xdr:row>
          <xdr:rowOff>9525</xdr:rowOff>
        </xdr:from>
        <xdr:to>
          <xdr:col>2</xdr:col>
          <xdr:colOff>2676525</xdr:colOff>
          <xdr:row>160</xdr:row>
          <xdr:rowOff>9525</xdr:rowOff>
        </xdr:to>
        <xdr:sp macro="" textlink="">
          <xdr:nvSpPr>
            <xdr:cNvPr id="61462" name="Check Box 22" hidden="1">
              <a:extLst>
                <a:ext uri="{63B3BB69-23CF-44E3-9099-C40C66FF867C}">
                  <a14:compatExt spid="_x0000_s61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1000125</xdr:colOff>
          <xdr:row>160</xdr:row>
          <xdr:rowOff>9525</xdr:rowOff>
        </xdr:from>
        <xdr:to>
          <xdr:col>2</xdr:col>
          <xdr:colOff>1895475</xdr:colOff>
          <xdr:row>161</xdr:row>
          <xdr:rowOff>9525</xdr:rowOff>
        </xdr:to>
        <xdr:sp macro="" textlink="">
          <xdr:nvSpPr>
            <xdr:cNvPr id="61463" name="Check Box 23" hidden="1">
              <a:extLst>
                <a:ext uri="{63B3BB69-23CF-44E3-9099-C40C66FF867C}">
                  <a14:compatExt spid="_x0000_s61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2000250</xdr:colOff>
          <xdr:row>160</xdr:row>
          <xdr:rowOff>9525</xdr:rowOff>
        </xdr:from>
        <xdr:to>
          <xdr:col>2</xdr:col>
          <xdr:colOff>2676525</xdr:colOff>
          <xdr:row>161</xdr:row>
          <xdr:rowOff>9525</xdr:rowOff>
        </xdr:to>
        <xdr:sp macro="" textlink="">
          <xdr:nvSpPr>
            <xdr:cNvPr id="61464" name="Check Box 24" hidden="1">
              <a:extLst>
                <a:ext uri="{63B3BB69-23CF-44E3-9099-C40C66FF867C}">
                  <a14:compatExt spid="_x0000_s61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990600</xdr:colOff>
          <xdr:row>161</xdr:row>
          <xdr:rowOff>9525</xdr:rowOff>
        </xdr:from>
        <xdr:to>
          <xdr:col>2</xdr:col>
          <xdr:colOff>1885950</xdr:colOff>
          <xdr:row>162</xdr:row>
          <xdr:rowOff>9525</xdr:rowOff>
        </xdr:to>
        <xdr:sp macro="" textlink="">
          <xdr:nvSpPr>
            <xdr:cNvPr id="61465" name="Check Box 25" hidden="1">
              <a:extLst>
                <a:ext uri="{63B3BB69-23CF-44E3-9099-C40C66FF867C}">
                  <a14:compatExt spid="_x0000_s61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2000250</xdr:colOff>
          <xdr:row>161</xdr:row>
          <xdr:rowOff>9525</xdr:rowOff>
        </xdr:from>
        <xdr:to>
          <xdr:col>2</xdr:col>
          <xdr:colOff>2676525</xdr:colOff>
          <xdr:row>162</xdr:row>
          <xdr:rowOff>9525</xdr:rowOff>
        </xdr:to>
        <xdr:sp macro="" textlink="">
          <xdr:nvSpPr>
            <xdr:cNvPr id="61466" name="Check Box 26" hidden="1">
              <a:extLst>
                <a:ext uri="{63B3BB69-23CF-44E3-9099-C40C66FF867C}">
                  <a14:compatExt spid="_x0000_s61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990600</xdr:colOff>
          <xdr:row>162</xdr:row>
          <xdr:rowOff>9525</xdr:rowOff>
        </xdr:from>
        <xdr:to>
          <xdr:col>2</xdr:col>
          <xdr:colOff>1885950</xdr:colOff>
          <xdr:row>163</xdr:row>
          <xdr:rowOff>9525</xdr:rowOff>
        </xdr:to>
        <xdr:sp macro="" textlink="">
          <xdr:nvSpPr>
            <xdr:cNvPr id="61467" name="Check Box 27" hidden="1">
              <a:extLst>
                <a:ext uri="{63B3BB69-23CF-44E3-9099-C40C66FF867C}">
                  <a14:compatExt spid="_x0000_s61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2000250</xdr:colOff>
          <xdr:row>162</xdr:row>
          <xdr:rowOff>9525</xdr:rowOff>
        </xdr:from>
        <xdr:to>
          <xdr:col>2</xdr:col>
          <xdr:colOff>2676525</xdr:colOff>
          <xdr:row>163</xdr:row>
          <xdr:rowOff>9525</xdr:rowOff>
        </xdr:to>
        <xdr:sp macro="" textlink="">
          <xdr:nvSpPr>
            <xdr:cNvPr id="61468" name="Check Box 28" hidden="1">
              <a:extLst>
                <a:ext uri="{63B3BB69-23CF-44E3-9099-C40C66FF867C}">
                  <a14:compatExt spid="_x0000_s61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733425</xdr:colOff>
          <xdr:row>164</xdr:row>
          <xdr:rowOff>9525</xdr:rowOff>
        </xdr:from>
        <xdr:to>
          <xdr:col>2</xdr:col>
          <xdr:colOff>1457325</xdr:colOff>
          <xdr:row>164</xdr:row>
          <xdr:rowOff>800100</xdr:rowOff>
        </xdr:to>
        <xdr:sp macro="" textlink="">
          <xdr:nvSpPr>
            <xdr:cNvPr id="61469" name="Check Box 29" hidden="1">
              <a:extLst>
                <a:ext uri="{63B3BB69-23CF-44E3-9099-C40C66FF867C}">
                  <a14:compatExt spid="_x0000_s61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1476375</xdr:colOff>
          <xdr:row>164</xdr:row>
          <xdr:rowOff>9525</xdr:rowOff>
        </xdr:from>
        <xdr:to>
          <xdr:col>2</xdr:col>
          <xdr:colOff>2200275</xdr:colOff>
          <xdr:row>164</xdr:row>
          <xdr:rowOff>800100</xdr:rowOff>
        </xdr:to>
        <xdr:sp macro="" textlink="">
          <xdr:nvSpPr>
            <xdr:cNvPr id="61470" name="Check Box 30" hidden="1">
              <a:extLst>
                <a:ext uri="{63B3BB69-23CF-44E3-9099-C40C66FF867C}">
                  <a14:compatExt spid="_x0000_s61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2219325</xdr:colOff>
          <xdr:row>164</xdr:row>
          <xdr:rowOff>9525</xdr:rowOff>
        </xdr:from>
        <xdr:to>
          <xdr:col>2</xdr:col>
          <xdr:colOff>2943225</xdr:colOff>
          <xdr:row>164</xdr:row>
          <xdr:rowOff>800100</xdr:rowOff>
        </xdr:to>
        <xdr:sp macro="" textlink="">
          <xdr:nvSpPr>
            <xdr:cNvPr id="61471" name="Check Box 31" hidden="1">
              <a:extLst>
                <a:ext uri="{63B3BB69-23CF-44E3-9099-C40C66FF867C}">
                  <a14:compatExt spid="_x0000_s61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N/A</a:t>
              </a:r>
            </a:p>
          </xdr:txBody>
        </xdr:sp>
        <xdr:clientData/>
      </xdr:twoCellAnchor>
    </mc:Choice>
    <mc:Fallback/>
  </mc:AlternateContent>
  <xdr:twoCellAnchor>
    <xdr:from>
      <xdr:col>1</xdr:col>
      <xdr:colOff>9521</xdr:colOff>
      <xdr:row>0</xdr:row>
      <xdr:rowOff>114300</xdr:rowOff>
    </xdr:from>
    <xdr:to>
      <xdr:col>3</xdr:col>
      <xdr:colOff>0</xdr:colOff>
      <xdr:row>5</xdr:row>
      <xdr:rowOff>172275</xdr:rowOff>
    </xdr:to>
    <xdr:sp macro="" textlink="">
      <xdr:nvSpPr>
        <xdr:cNvPr id="36" name="Rectangle 35"/>
        <xdr:cNvSpPr/>
      </xdr:nvSpPr>
      <xdr:spPr>
        <a:xfrm>
          <a:off x="619121" y="114300"/>
          <a:ext cx="8086729" cy="867600"/>
        </a:xfrm>
        <a:prstGeom prst="rect">
          <a:avLst/>
        </a:prstGeom>
        <a:solidFill>
          <a:sysClr val="window" lastClr="FFFFFF"/>
        </a:solidFill>
        <a:ln w="25400">
          <a:solidFill>
            <a:schemeClr val="tx1">
              <a:alpha val="50000"/>
            </a:schemeClr>
          </a:solidFill>
        </a:ln>
        <a:scene3d>
          <a:camera prst="orthographicFront"/>
          <a:lightRig rig="threePt" dir="t"/>
        </a:scene3d>
        <a:sp3d prstMaterial="dkEdge">
          <a:bevelB w="0" h="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0" rtlCol="0" anchor="ctr">
          <a:sp3d>
            <a:bevelT w="38100"/>
            <a:bevelB w="38100"/>
          </a:sp3d>
        </a:bodyPr>
        <a:lstStyle/>
        <a:p>
          <a:pPr lvl="8" algn="l"/>
          <a:r>
            <a:rPr lang="en-IE" sz="1400" b="1">
              <a:solidFill>
                <a:sysClr val="windowText" lastClr="000000"/>
              </a:solidFill>
              <a:latin typeface="Lato" panose="020F0502020204030203" pitchFamily="34" charset="0"/>
            </a:rPr>
            <a:t>Applicant Firm Details</a:t>
          </a:r>
        </a:p>
      </xdr:txBody>
    </xdr:sp>
    <xdr:clientData/>
  </xdr:twoCellAnchor>
  <xdr:twoCellAnchor editAs="oneCell">
    <xdr:from>
      <xdr:col>1</xdr:col>
      <xdr:colOff>57150</xdr:colOff>
      <xdr:row>1</xdr:row>
      <xdr:rowOff>57151</xdr:rowOff>
    </xdr:from>
    <xdr:to>
      <xdr:col>1</xdr:col>
      <xdr:colOff>3761550</xdr:colOff>
      <xdr:row>5</xdr:row>
      <xdr:rowOff>57451</xdr:rowOff>
    </xdr:to>
    <xdr:pic>
      <xdr:nvPicPr>
        <xdr:cNvPr id="37" name="Picture 36" descr="http://plaza/comms/Useful%20Communictions%20Documents/cb-logo-colour_2017.jpg"/>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0" y="219076"/>
          <a:ext cx="3704400" cy="648000"/>
        </a:xfrm>
        <a:prstGeom prst="rect">
          <a:avLst/>
        </a:prstGeom>
        <a:noFill/>
        <a:ln cap="rnd">
          <a:noFill/>
          <a:miter lim="800000"/>
        </a:ln>
        <a:effectLst/>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2200275</xdr:colOff>
          <xdr:row>93</xdr:row>
          <xdr:rowOff>9525</xdr:rowOff>
        </xdr:from>
        <xdr:to>
          <xdr:col>2</xdr:col>
          <xdr:colOff>2828925</xdr:colOff>
          <xdr:row>94</xdr:row>
          <xdr:rowOff>9525</xdr:rowOff>
        </xdr:to>
        <xdr:sp macro="" textlink="">
          <xdr:nvSpPr>
            <xdr:cNvPr id="61565" name="Check Box 125" descr="N/A" hidden="1">
              <a:extLst>
                <a:ext uri="{63B3BB69-23CF-44E3-9099-C40C66FF867C}">
                  <a14:compatExt spid="_x0000_s61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990600</xdr:colOff>
          <xdr:row>103</xdr:row>
          <xdr:rowOff>9525</xdr:rowOff>
        </xdr:from>
        <xdr:to>
          <xdr:col>2</xdr:col>
          <xdr:colOff>1981200</xdr:colOff>
          <xdr:row>104</xdr:row>
          <xdr:rowOff>9525</xdr:rowOff>
        </xdr:to>
        <xdr:sp macro="" textlink="">
          <xdr:nvSpPr>
            <xdr:cNvPr id="61606" name="Check Box 166" hidden="1">
              <a:extLst>
                <a:ext uri="{63B3BB69-23CF-44E3-9099-C40C66FF867C}">
                  <a14:compatExt spid="_x0000_s61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2000250</xdr:colOff>
          <xdr:row>103</xdr:row>
          <xdr:rowOff>9525</xdr:rowOff>
        </xdr:from>
        <xdr:to>
          <xdr:col>2</xdr:col>
          <xdr:colOff>2990850</xdr:colOff>
          <xdr:row>104</xdr:row>
          <xdr:rowOff>9525</xdr:rowOff>
        </xdr:to>
        <xdr:sp macro="" textlink="">
          <xdr:nvSpPr>
            <xdr:cNvPr id="61607" name="Check Box 167" hidden="1">
              <a:extLst>
                <a:ext uri="{63B3BB69-23CF-44E3-9099-C40C66FF867C}">
                  <a14:compatExt spid="_x0000_s61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990600</xdr:colOff>
          <xdr:row>58</xdr:row>
          <xdr:rowOff>9525</xdr:rowOff>
        </xdr:from>
        <xdr:to>
          <xdr:col>2</xdr:col>
          <xdr:colOff>1981200</xdr:colOff>
          <xdr:row>59</xdr:row>
          <xdr:rowOff>9525</xdr:rowOff>
        </xdr:to>
        <xdr:sp macro="" textlink="">
          <xdr:nvSpPr>
            <xdr:cNvPr id="61611" name="Check Box 171" hidden="1">
              <a:extLst>
                <a:ext uri="{63B3BB69-23CF-44E3-9099-C40C66FF867C}">
                  <a14:compatExt spid="_x0000_s61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2000250</xdr:colOff>
          <xdr:row>58</xdr:row>
          <xdr:rowOff>9525</xdr:rowOff>
        </xdr:from>
        <xdr:to>
          <xdr:col>2</xdr:col>
          <xdr:colOff>2990850</xdr:colOff>
          <xdr:row>59</xdr:row>
          <xdr:rowOff>9525</xdr:rowOff>
        </xdr:to>
        <xdr:sp macro="" textlink="">
          <xdr:nvSpPr>
            <xdr:cNvPr id="61612" name="Check Box 172" hidden="1">
              <a:extLst>
                <a:ext uri="{63B3BB69-23CF-44E3-9099-C40C66FF867C}">
                  <a14:compatExt spid="_x0000_s61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990600</xdr:colOff>
          <xdr:row>74</xdr:row>
          <xdr:rowOff>9525</xdr:rowOff>
        </xdr:from>
        <xdr:to>
          <xdr:col>2</xdr:col>
          <xdr:colOff>1981200</xdr:colOff>
          <xdr:row>75</xdr:row>
          <xdr:rowOff>9525</xdr:rowOff>
        </xdr:to>
        <xdr:sp macro="" textlink="">
          <xdr:nvSpPr>
            <xdr:cNvPr id="61613" name="Check Box 173" hidden="1">
              <a:extLst>
                <a:ext uri="{63B3BB69-23CF-44E3-9099-C40C66FF867C}">
                  <a14:compatExt spid="_x0000_s61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2000250</xdr:colOff>
          <xdr:row>74</xdr:row>
          <xdr:rowOff>9525</xdr:rowOff>
        </xdr:from>
        <xdr:to>
          <xdr:col>2</xdr:col>
          <xdr:colOff>2990850</xdr:colOff>
          <xdr:row>75</xdr:row>
          <xdr:rowOff>9525</xdr:rowOff>
        </xdr:to>
        <xdr:sp macro="" textlink="">
          <xdr:nvSpPr>
            <xdr:cNvPr id="61614" name="Check Box 174" hidden="1">
              <a:extLst>
                <a:ext uri="{63B3BB69-23CF-44E3-9099-C40C66FF867C}">
                  <a14:compatExt spid="_x0000_s61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990600</xdr:colOff>
          <xdr:row>121</xdr:row>
          <xdr:rowOff>0</xdr:rowOff>
        </xdr:from>
        <xdr:to>
          <xdr:col>2</xdr:col>
          <xdr:colOff>1981200</xdr:colOff>
          <xdr:row>122</xdr:row>
          <xdr:rowOff>0</xdr:rowOff>
        </xdr:to>
        <xdr:sp macro="" textlink="">
          <xdr:nvSpPr>
            <xdr:cNvPr id="61620" name="Check Box 180" hidden="1">
              <a:extLst>
                <a:ext uri="{63B3BB69-23CF-44E3-9099-C40C66FF867C}">
                  <a14:compatExt spid="_x0000_s61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2000250</xdr:colOff>
          <xdr:row>121</xdr:row>
          <xdr:rowOff>0</xdr:rowOff>
        </xdr:from>
        <xdr:to>
          <xdr:col>2</xdr:col>
          <xdr:colOff>2990850</xdr:colOff>
          <xdr:row>122</xdr:row>
          <xdr:rowOff>0</xdr:rowOff>
        </xdr:to>
        <xdr:sp macro="" textlink="">
          <xdr:nvSpPr>
            <xdr:cNvPr id="61621" name="Check Box 181" hidden="1">
              <a:extLst>
                <a:ext uri="{63B3BB69-23CF-44E3-9099-C40C66FF867C}">
                  <a14:compatExt spid="_x0000_s61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990600</xdr:colOff>
          <xdr:row>121</xdr:row>
          <xdr:rowOff>609600</xdr:rowOff>
        </xdr:from>
        <xdr:to>
          <xdr:col>2</xdr:col>
          <xdr:colOff>1981200</xdr:colOff>
          <xdr:row>123</xdr:row>
          <xdr:rowOff>0</xdr:rowOff>
        </xdr:to>
        <xdr:sp macro="" textlink="">
          <xdr:nvSpPr>
            <xdr:cNvPr id="61622" name="Check Box 182" hidden="1">
              <a:extLst>
                <a:ext uri="{63B3BB69-23CF-44E3-9099-C40C66FF867C}">
                  <a14:compatExt spid="_x0000_s61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2000250</xdr:colOff>
          <xdr:row>121</xdr:row>
          <xdr:rowOff>609600</xdr:rowOff>
        </xdr:from>
        <xdr:to>
          <xdr:col>2</xdr:col>
          <xdr:colOff>2990850</xdr:colOff>
          <xdr:row>123</xdr:row>
          <xdr:rowOff>0</xdr:rowOff>
        </xdr:to>
        <xdr:sp macro="" textlink="">
          <xdr:nvSpPr>
            <xdr:cNvPr id="61623" name="Check Box 183" hidden="1">
              <a:extLst>
                <a:ext uri="{63B3BB69-23CF-44E3-9099-C40C66FF867C}">
                  <a14:compatExt spid="_x0000_s61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990600</xdr:colOff>
          <xdr:row>122</xdr:row>
          <xdr:rowOff>609600</xdr:rowOff>
        </xdr:from>
        <xdr:to>
          <xdr:col>2</xdr:col>
          <xdr:colOff>1981200</xdr:colOff>
          <xdr:row>124</xdr:row>
          <xdr:rowOff>0</xdr:rowOff>
        </xdr:to>
        <xdr:sp macro="" textlink="">
          <xdr:nvSpPr>
            <xdr:cNvPr id="61624" name="Check Box 184" hidden="1">
              <a:extLst>
                <a:ext uri="{63B3BB69-23CF-44E3-9099-C40C66FF867C}">
                  <a14:compatExt spid="_x0000_s61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2000250</xdr:colOff>
          <xdr:row>122</xdr:row>
          <xdr:rowOff>609600</xdr:rowOff>
        </xdr:from>
        <xdr:to>
          <xdr:col>2</xdr:col>
          <xdr:colOff>2990850</xdr:colOff>
          <xdr:row>124</xdr:row>
          <xdr:rowOff>0</xdr:rowOff>
        </xdr:to>
        <xdr:sp macro="" textlink="">
          <xdr:nvSpPr>
            <xdr:cNvPr id="61625" name="Check Box 185" hidden="1">
              <a:extLst>
                <a:ext uri="{63B3BB69-23CF-44E3-9099-C40C66FF867C}">
                  <a14:compatExt spid="_x0000_s61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990600</xdr:colOff>
          <xdr:row>123</xdr:row>
          <xdr:rowOff>609600</xdr:rowOff>
        </xdr:from>
        <xdr:to>
          <xdr:col>2</xdr:col>
          <xdr:colOff>1981200</xdr:colOff>
          <xdr:row>125</xdr:row>
          <xdr:rowOff>0</xdr:rowOff>
        </xdr:to>
        <xdr:sp macro="" textlink="">
          <xdr:nvSpPr>
            <xdr:cNvPr id="61626" name="Check Box 186" hidden="1">
              <a:extLst>
                <a:ext uri="{63B3BB69-23CF-44E3-9099-C40C66FF867C}">
                  <a14:compatExt spid="_x0000_s61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2000250</xdr:colOff>
          <xdr:row>123</xdr:row>
          <xdr:rowOff>609600</xdr:rowOff>
        </xdr:from>
        <xdr:to>
          <xdr:col>2</xdr:col>
          <xdr:colOff>2990850</xdr:colOff>
          <xdr:row>125</xdr:row>
          <xdr:rowOff>0</xdr:rowOff>
        </xdr:to>
        <xdr:sp macro="" textlink="">
          <xdr:nvSpPr>
            <xdr:cNvPr id="61627" name="Check Box 187" hidden="1">
              <a:extLst>
                <a:ext uri="{63B3BB69-23CF-44E3-9099-C40C66FF867C}">
                  <a14:compatExt spid="_x0000_s61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990600</xdr:colOff>
          <xdr:row>124</xdr:row>
          <xdr:rowOff>609600</xdr:rowOff>
        </xdr:from>
        <xdr:to>
          <xdr:col>2</xdr:col>
          <xdr:colOff>1981200</xdr:colOff>
          <xdr:row>126</xdr:row>
          <xdr:rowOff>0</xdr:rowOff>
        </xdr:to>
        <xdr:sp macro="" textlink="">
          <xdr:nvSpPr>
            <xdr:cNvPr id="61628" name="Check Box 188" hidden="1">
              <a:extLst>
                <a:ext uri="{63B3BB69-23CF-44E3-9099-C40C66FF867C}">
                  <a14:compatExt spid="_x0000_s61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2000250</xdr:colOff>
          <xdr:row>124</xdr:row>
          <xdr:rowOff>609600</xdr:rowOff>
        </xdr:from>
        <xdr:to>
          <xdr:col>2</xdr:col>
          <xdr:colOff>2990850</xdr:colOff>
          <xdr:row>126</xdr:row>
          <xdr:rowOff>0</xdr:rowOff>
        </xdr:to>
        <xdr:sp macro="" textlink="">
          <xdr:nvSpPr>
            <xdr:cNvPr id="61629" name="Check Box 189" hidden="1">
              <a:extLst>
                <a:ext uri="{63B3BB69-23CF-44E3-9099-C40C66FF867C}">
                  <a14:compatExt spid="_x0000_s61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990600</xdr:colOff>
          <xdr:row>130</xdr:row>
          <xdr:rowOff>9525</xdr:rowOff>
        </xdr:from>
        <xdr:to>
          <xdr:col>2</xdr:col>
          <xdr:colOff>1981200</xdr:colOff>
          <xdr:row>130</xdr:row>
          <xdr:rowOff>1609725</xdr:rowOff>
        </xdr:to>
        <xdr:sp macro="" textlink="">
          <xdr:nvSpPr>
            <xdr:cNvPr id="61630" name="Check Box 190" hidden="1">
              <a:extLst>
                <a:ext uri="{63B3BB69-23CF-44E3-9099-C40C66FF867C}">
                  <a14:compatExt spid="_x0000_s61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2000250</xdr:colOff>
          <xdr:row>130</xdr:row>
          <xdr:rowOff>9525</xdr:rowOff>
        </xdr:from>
        <xdr:to>
          <xdr:col>2</xdr:col>
          <xdr:colOff>2990850</xdr:colOff>
          <xdr:row>130</xdr:row>
          <xdr:rowOff>1609725</xdr:rowOff>
        </xdr:to>
        <xdr:sp macro="" textlink="">
          <xdr:nvSpPr>
            <xdr:cNvPr id="61631" name="Check Box 191" hidden="1">
              <a:extLst>
                <a:ext uri="{63B3BB69-23CF-44E3-9099-C40C66FF867C}">
                  <a14:compatExt spid="_x0000_s61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990600</xdr:colOff>
          <xdr:row>148</xdr:row>
          <xdr:rowOff>533400</xdr:rowOff>
        </xdr:from>
        <xdr:to>
          <xdr:col>2</xdr:col>
          <xdr:colOff>1981200</xdr:colOff>
          <xdr:row>150</xdr:row>
          <xdr:rowOff>0</xdr:rowOff>
        </xdr:to>
        <xdr:sp macro="" textlink="">
          <xdr:nvSpPr>
            <xdr:cNvPr id="61634" name="Check Box 194" hidden="1">
              <a:extLst>
                <a:ext uri="{63B3BB69-23CF-44E3-9099-C40C66FF867C}">
                  <a14:compatExt spid="_x0000_s61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2000250</xdr:colOff>
          <xdr:row>148</xdr:row>
          <xdr:rowOff>533400</xdr:rowOff>
        </xdr:from>
        <xdr:to>
          <xdr:col>2</xdr:col>
          <xdr:colOff>2990850</xdr:colOff>
          <xdr:row>150</xdr:row>
          <xdr:rowOff>0</xdr:rowOff>
        </xdr:to>
        <xdr:sp macro="" textlink="">
          <xdr:nvSpPr>
            <xdr:cNvPr id="61635" name="Check Box 195" hidden="1">
              <a:extLst>
                <a:ext uri="{63B3BB69-23CF-44E3-9099-C40C66FF867C}">
                  <a14:compatExt spid="_x0000_s61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990600</xdr:colOff>
          <xdr:row>110</xdr:row>
          <xdr:rowOff>0</xdr:rowOff>
        </xdr:from>
        <xdr:to>
          <xdr:col>2</xdr:col>
          <xdr:colOff>1981200</xdr:colOff>
          <xdr:row>111</xdr:row>
          <xdr:rowOff>0</xdr:rowOff>
        </xdr:to>
        <xdr:sp macro="" textlink="">
          <xdr:nvSpPr>
            <xdr:cNvPr id="61638" name="Check Box 198" hidden="1">
              <a:extLst>
                <a:ext uri="{63B3BB69-23CF-44E3-9099-C40C66FF867C}">
                  <a14:compatExt spid="_x0000_s61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2000250</xdr:colOff>
          <xdr:row>110</xdr:row>
          <xdr:rowOff>0</xdr:rowOff>
        </xdr:from>
        <xdr:to>
          <xdr:col>2</xdr:col>
          <xdr:colOff>2990850</xdr:colOff>
          <xdr:row>111</xdr:row>
          <xdr:rowOff>0</xdr:rowOff>
        </xdr:to>
        <xdr:sp macro="" textlink="">
          <xdr:nvSpPr>
            <xdr:cNvPr id="61639" name="Check Box 199" hidden="1">
              <a:extLst>
                <a:ext uri="{63B3BB69-23CF-44E3-9099-C40C66FF867C}">
                  <a14:compatExt spid="_x0000_s61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990600</xdr:colOff>
          <xdr:row>170</xdr:row>
          <xdr:rowOff>0</xdr:rowOff>
        </xdr:from>
        <xdr:to>
          <xdr:col>2</xdr:col>
          <xdr:colOff>1981200</xdr:colOff>
          <xdr:row>171</xdr:row>
          <xdr:rowOff>0</xdr:rowOff>
        </xdr:to>
        <xdr:sp macro="" textlink="">
          <xdr:nvSpPr>
            <xdr:cNvPr id="61644" name="Check Box 204" hidden="1">
              <a:extLst>
                <a:ext uri="{63B3BB69-23CF-44E3-9099-C40C66FF867C}">
                  <a14:compatExt spid="_x0000_s61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2000250</xdr:colOff>
          <xdr:row>170</xdr:row>
          <xdr:rowOff>0</xdr:rowOff>
        </xdr:from>
        <xdr:to>
          <xdr:col>2</xdr:col>
          <xdr:colOff>2990850</xdr:colOff>
          <xdr:row>171</xdr:row>
          <xdr:rowOff>0</xdr:rowOff>
        </xdr:to>
        <xdr:sp macro="" textlink="">
          <xdr:nvSpPr>
            <xdr:cNvPr id="61645" name="Check Box 205" hidden="1">
              <a:extLst>
                <a:ext uri="{63B3BB69-23CF-44E3-9099-C40C66FF867C}">
                  <a14:compatExt spid="_x0000_s61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733425</xdr:colOff>
          <xdr:row>165</xdr:row>
          <xdr:rowOff>9525</xdr:rowOff>
        </xdr:from>
        <xdr:to>
          <xdr:col>2</xdr:col>
          <xdr:colOff>1457325</xdr:colOff>
          <xdr:row>165</xdr:row>
          <xdr:rowOff>800100</xdr:rowOff>
        </xdr:to>
        <xdr:sp macro="" textlink="">
          <xdr:nvSpPr>
            <xdr:cNvPr id="61646" name="Check Box 206" hidden="1">
              <a:extLst>
                <a:ext uri="{63B3BB69-23CF-44E3-9099-C40C66FF867C}">
                  <a14:compatExt spid="_x0000_s61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1476375</xdr:colOff>
          <xdr:row>165</xdr:row>
          <xdr:rowOff>9525</xdr:rowOff>
        </xdr:from>
        <xdr:to>
          <xdr:col>2</xdr:col>
          <xdr:colOff>2200275</xdr:colOff>
          <xdr:row>165</xdr:row>
          <xdr:rowOff>800100</xdr:rowOff>
        </xdr:to>
        <xdr:sp macro="" textlink="">
          <xdr:nvSpPr>
            <xdr:cNvPr id="61647" name="Check Box 207" hidden="1">
              <a:extLst>
                <a:ext uri="{63B3BB69-23CF-44E3-9099-C40C66FF867C}">
                  <a14:compatExt spid="_x0000_s61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2219325</xdr:colOff>
          <xdr:row>165</xdr:row>
          <xdr:rowOff>9525</xdr:rowOff>
        </xdr:from>
        <xdr:to>
          <xdr:col>2</xdr:col>
          <xdr:colOff>2943225</xdr:colOff>
          <xdr:row>165</xdr:row>
          <xdr:rowOff>800100</xdr:rowOff>
        </xdr:to>
        <xdr:sp macro="" textlink="">
          <xdr:nvSpPr>
            <xdr:cNvPr id="61648" name="Check Box 208" hidden="1">
              <a:extLst>
                <a:ext uri="{63B3BB69-23CF-44E3-9099-C40C66FF867C}">
                  <a14:compatExt spid="_x0000_s61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990600</xdr:colOff>
          <xdr:row>134</xdr:row>
          <xdr:rowOff>9525</xdr:rowOff>
        </xdr:from>
        <xdr:to>
          <xdr:col>2</xdr:col>
          <xdr:colOff>1981200</xdr:colOff>
          <xdr:row>135</xdr:row>
          <xdr:rowOff>9525</xdr:rowOff>
        </xdr:to>
        <xdr:sp macro="" textlink="">
          <xdr:nvSpPr>
            <xdr:cNvPr id="61653" name="Check Box 213" hidden="1">
              <a:extLst>
                <a:ext uri="{63B3BB69-23CF-44E3-9099-C40C66FF867C}">
                  <a14:compatExt spid="_x0000_s61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2000250</xdr:colOff>
          <xdr:row>134</xdr:row>
          <xdr:rowOff>9525</xdr:rowOff>
        </xdr:from>
        <xdr:to>
          <xdr:col>2</xdr:col>
          <xdr:colOff>2990850</xdr:colOff>
          <xdr:row>135</xdr:row>
          <xdr:rowOff>9525</xdr:rowOff>
        </xdr:to>
        <xdr:sp macro="" textlink="">
          <xdr:nvSpPr>
            <xdr:cNvPr id="61654" name="Check Box 214" hidden="1">
              <a:extLst>
                <a:ext uri="{63B3BB69-23CF-44E3-9099-C40C66FF867C}">
                  <a14:compatExt spid="_x0000_s61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990600</xdr:colOff>
          <xdr:row>22</xdr:row>
          <xdr:rowOff>0</xdr:rowOff>
        </xdr:from>
        <xdr:to>
          <xdr:col>2</xdr:col>
          <xdr:colOff>1981200</xdr:colOff>
          <xdr:row>23</xdr:row>
          <xdr:rowOff>0</xdr:rowOff>
        </xdr:to>
        <xdr:sp macro="" textlink="">
          <xdr:nvSpPr>
            <xdr:cNvPr id="61655" name="Check Box 215" hidden="1">
              <a:extLst>
                <a:ext uri="{63B3BB69-23CF-44E3-9099-C40C66FF867C}">
                  <a14:compatExt spid="_x0000_s61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2000250</xdr:colOff>
          <xdr:row>22</xdr:row>
          <xdr:rowOff>0</xdr:rowOff>
        </xdr:from>
        <xdr:to>
          <xdr:col>2</xdr:col>
          <xdr:colOff>2990850</xdr:colOff>
          <xdr:row>23</xdr:row>
          <xdr:rowOff>0</xdr:rowOff>
        </xdr:to>
        <xdr:sp macro="" textlink="">
          <xdr:nvSpPr>
            <xdr:cNvPr id="61656" name="Check Box 216" hidden="1">
              <a:extLst>
                <a:ext uri="{63B3BB69-23CF-44E3-9099-C40C66FF867C}">
                  <a14:compatExt spid="_x0000_s61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990600</xdr:colOff>
          <xdr:row>32</xdr:row>
          <xdr:rowOff>0</xdr:rowOff>
        </xdr:from>
        <xdr:to>
          <xdr:col>2</xdr:col>
          <xdr:colOff>1981200</xdr:colOff>
          <xdr:row>33</xdr:row>
          <xdr:rowOff>0</xdr:rowOff>
        </xdr:to>
        <xdr:sp macro="" textlink="">
          <xdr:nvSpPr>
            <xdr:cNvPr id="61657" name="Check Box 217" hidden="1">
              <a:extLst>
                <a:ext uri="{63B3BB69-23CF-44E3-9099-C40C66FF867C}">
                  <a14:compatExt spid="_x0000_s61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2000250</xdr:colOff>
          <xdr:row>32</xdr:row>
          <xdr:rowOff>0</xdr:rowOff>
        </xdr:from>
        <xdr:to>
          <xdr:col>2</xdr:col>
          <xdr:colOff>2990850</xdr:colOff>
          <xdr:row>33</xdr:row>
          <xdr:rowOff>0</xdr:rowOff>
        </xdr:to>
        <xdr:sp macro="" textlink="">
          <xdr:nvSpPr>
            <xdr:cNvPr id="61658" name="Check Box 218" hidden="1">
              <a:extLst>
                <a:ext uri="{63B3BB69-23CF-44E3-9099-C40C66FF867C}">
                  <a14:compatExt spid="_x0000_s61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990600</xdr:colOff>
          <xdr:row>72</xdr:row>
          <xdr:rowOff>9525</xdr:rowOff>
        </xdr:from>
        <xdr:to>
          <xdr:col>2</xdr:col>
          <xdr:colOff>1981200</xdr:colOff>
          <xdr:row>73</xdr:row>
          <xdr:rowOff>9525</xdr:rowOff>
        </xdr:to>
        <xdr:sp macro="" textlink="">
          <xdr:nvSpPr>
            <xdr:cNvPr id="61659" name="Check Box 219" hidden="1">
              <a:extLst>
                <a:ext uri="{63B3BB69-23CF-44E3-9099-C40C66FF867C}">
                  <a14:compatExt spid="_x0000_s61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2000250</xdr:colOff>
          <xdr:row>72</xdr:row>
          <xdr:rowOff>9525</xdr:rowOff>
        </xdr:from>
        <xdr:to>
          <xdr:col>2</xdr:col>
          <xdr:colOff>2990850</xdr:colOff>
          <xdr:row>73</xdr:row>
          <xdr:rowOff>9525</xdr:rowOff>
        </xdr:to>
        <xdr:sp macro="" textlink="">
          <xdr:nvSpPr>
            <xdr:cNvPr id="61660" name="Check Box 220" hidden="1">
              <a:extLst>
                <a:ext uri="{63B3BB69-23CF-44E3-9099-C40C66FF867C}">
                  <a14:compatExt spid="_x0000_s61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990600</xdr:colOff>
          <xdr:row>113</xdr:row>
          <xdr:rowOff>0</xdr:rowOff>
        </xdr:from>
        <xdr:to>
          <xdr:col>2</xdr:col>
          <xdr:colOff>1981200</xdr:colOff>
          <xdr:row>114</xdr:row>
          <xdr:rowOff>0</xdr:rowOff>
        </xdr:to>
        <xdr:sp macro="" textlink="">
          <xdr:nvSpPr>
            <xdr:cNvPr id="61672" name="Check Box 232" hidden="1">
              <a:extLst>
                <a:ext uri="{63B3BB69-23CF-44E3-9099-C40C66FF867C}">
                  <a14:compatExt spid="_x0000_s61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2000250</xdr:colOff>
          <xdr:row>113</xdr:row>
          <xdr:rowOff>0</xdr:rowOff>
        </xdr:from>
        <xdr:to>
          <xdr:col>2</xdr:col>
          <xdr:colOff>2990850</xdr:colOff>
          <xdr:row>114</xdr:row>
          <xdr:rowOff>0</xdr:rowOff>
        </xdr:to>
        <xdr:sp macro="" textlink="">
          <xdr:nvSpPr>
            <xdr:cNvPr id="61673" name="Check Box 233" hidden="1">
              <a:extLst>
                <a:ext uri="{63B3BB69-23CF-44E3-9099-C40C66FF867C}">
                  <a14:compatExt spid="_x0000_s61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1057275</xdr:colOff>
          <xdr:row>11</xdr:row>
          <xdr:rowOff>0</xdr:rowOff>
        </xdr:from>
        <xdr:to>
          <xdr:col>5</xdr:col>
          <xdr:colOff>1485900</xdr:colOff>
          <xdr:row>11</xdr:row>
          <xdr:rowOff>400050</xdr:rowOff>
        </xdr:to>
        <xdr:sp macro="" textlink="">
          <xdr:nvSpPr>
            <xdr:cNvPr id="33795" name="Check Box 3" hidden="1">
              <a:extLst>
                <a:ext uri="{63B3BB69-23CF-44E3-9099-C40C66FF867C}">
                  <a14:compatExt spid="_x0000_s33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11</xdr:row>
          <xdr:rowOff>9525</xdr:rowOff>
        </xdr:from>
        <xdr:to>
          <xdr:col>6</xdr:col>
          <xdr:colOff>704850</xdr:colOff>
          <xdr:row>12</xdr:row>
          <xdr:rowOff>9525</xdr:rowOff>
        </xdr:to>
        <xdr:sp macro="" textlink="">
          <xdr:nvSpPr>
            <xdr:cNvPr id="34035" name="Check Box 243" hidden="1">
              <a:extLst>
                <a:ext uri="{63B3BB69-23CF-44E3-9099-C40C66FF867C}">
                  <a14:compatExt spid="_x0000_s34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1057275</xdr:colOff>
          <xdr:row>11</xdr:row>
          <xdr:rowOff>9525</xdr:rowOff>
        </xdr:from>
        <xdr:to>
          <xdr:col>6</xdr:col>
          <xdr:colOff>1485900</xdr:colOff>
          <xdr:row>12</xdr:row>
          <xdr:rowOff>9525</xdr:rowOff>
        </xdr:to>
        <xdr:sp macro="" textlink="">
          <xdr:nvSpPr>
            <xdr:cNvPr id="34036" name="Check Box 244" hidden="1">
              <a:extLst>
                <a:ext uri="{63B3BB69-23CF-44E3-9099-C40C66FF867C}">
                  <a14:compatExt spid="_x0000_s34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12</xdr:row>
          <xdr:rowOff>9525</xdr:rowOff>
        </xdr:from>
        <xdr:to>
          <xdr:col>5</xdr:col>
          <xdr:colOff>695325</xdr:colOff>
          <xdr:row>13</xdr:row>
          <xdr:rowOff>9525</xdr:rowOff>
        </xdr:to>
        <xdr:sp macro="" textlink="">
          <xdr:nvSpPr>
            <xdr:cNvPr id="34153" name="Check Box 361" hidden="1">
              <a:extLst>
                <a:ext uri="{63B3BB69-23CF-44E3-9099-C40C66FF867C}">
                  <a14:compatExt spid="_x0000_s34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1057275</xdr:colOff>
          <xdr:row>12</xdr:row>
          <xdr:rowOff>9525</xdr:rowOff>
        </xdr:from>
        <xdr:to>
          <xdr:col>5</xdr:col>
          <xdr:colOff>1485900</xdr:colOff>
          <xdr:row>13</xdr:row>
          <xdr:rowOff>9525</xdr:rowOff>
        </xdr:to>
        <xdr:sp macro="" textlink="">
          <xdr:nvSpPr>
            <xdr:cNvPr id="34154" name="Check Box 362" hidden="1">
              <a:extLst>
                <a:ext uri="{63B3BB69-23CF-44E3-9099-C40C66FF867C}">
                  <a14:compatExt spid="_x0000_s34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12</xdr:row>
          <xdr:rowOff>0</xdr:rowOff>
        </xdr:from>
        <xdr:to>
          <xdr:col>6</xdr:col>
          <xdr:colOff>704850</xdr:colOff>
          <xdr:row>12</xdr:row>
          <xdr:rowOff>400050</xdr:rowOff>
        </xdr:to>
        <xdr:sp macro="" textlink="">
          <xdr:nvSpPr>
            <xdr:cNvPr id="34155" name="Check Box 363" hidden="1">
              <a:extLst>
                <a:ext uri="{63B3BB69-23CF-44E3-9099-C40C66FF867C}">
                  <a14:compatExt spid="_x0000_s34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1057275</xdr:colOff>
          <xdr:row>12</xdr:row>
          <xdr:rowOff>0</xdr:rowOff>
        </xdr:from>
        <xdr:to>
          <xdr:col>6</xdr:col>
          <xdr:colOff>1485900</xdr:colOff>
          <xdr:row>12</xdr:row>
          <xdr:rowOff>400050</xdr:rowOff>
        </xdr:to>
        <xdr:sp macro="" textlink="">
          <xdr:nvSpPr>
            <xdr:cNvPr id="34156" name="Check Box 364" hidden="1">
              <a:extLst>
                <a:ext uri="{63B3BB69-23CF-44E3-9099-C40C66FF867C}">
                  <a14:compatExt spid="_x0000_s34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13</xdr:row>
          <xdr:rowOff>0</xdr:rowOff>
        </xdr:from>
        <xdr:to>
          <xdr:col>5</xdr:col>
          <xdr:colOff>695325</xdr:colOff>
          <xdr:row>13</xdr:row>
          <xdr:rowOff>400050</xdr:rowOff>
        </xdr:to>
        <xdr:sp macro="" textlink="">
          <xdr:nvSpPr>
            <xdr:cNvPr id="34159" name="Check Box 367" hidden="1">
              <a:extLst>
                <a:ext uri="{63B3BB69-23CF-44E3-9099-C40C66FF867C}">
                  <a14:compatExt spid="_x0000_s34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1057275</xdr:colOff>
          <xdr:row>13</xdr:row>
          <xdr:rowOff>9525</xdr:rowOff>
        </xdr:from>
        <xdr:to>
          <xdr:col>5</xdr:col>
          <xdr:colOff>1485900</xdr:colOff>
          <xdr:row>14</xdr:row>
          <xdr:rowOff>9525</xdr:rowOff>
        </xdr:to>
        <xdr:sp macro="" textlink="">
          <xdr:nvSpPr>
            <xdr:cNvPr id="34160" name="Check Box 368" hidden="1">
              <a:extLst>
                <a:ext uri="{63B3BB69-23CF-44E3-9099-C40C66FF867C}">
                  <a14:compatExt spid="_x0000_s34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13</xdr:row>
          <xdr:rowOff>9525</xdr:rowOff>
        </xdr:from>
        <xdr:to>
          <xdr:col>6</xdr:col>
          <xdr:colOff>704850</xdr:colOff>
          <xdr:row>14</xdr:row>
          <xdr:rowOff>9525</xdr:rowOff>
        </xdr:to>
        <xdr:sp macro="" textlink="">
          <xdr:nvSpPr>
            <xdr:cNvPr id="34161" name="Check Box 369" hidden="1">
              <a:extLst>
                <a:ext uri="{63B3BB69-23CF-44E3-9099-C40C66FF867C}">
                  <a14:compatExt spid="_x0000_s34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1057275</xdr:colOff>
          <xdr:row>13</xdr:row>
          <xdr:rowOff>9525</xdr:rowOff>
        </xdr:from>
        <xdr:to>
          <xdr:col>6</xdr:col>
          <xdr:colOff>1485900</xdr:colOff>
          <xdr:row>14</xdr:row>
          <xdr:rowOff>9525</xdr:rowOff>
        </xdr:to>
        <xdr:sp macro="" textlink="">
          <xdr:nvSpPr>
            <xdr:cNvPr id="34162" name="Check Box 370" hidden="1">
              <a:extLst>
                <a:ext uri="{63B3BB69-23CF-44E3-9099-C40C66FF867C}">
                  <a14:compatExt spid="_x0000_s34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14</xdr:row>
          <xdr:rowOff>0</xdr:rowOff>
        </xdr:from>
        <xdr:to>
          <xdr:col>5</xdr:col>
          <xdr:colOff>695325</xdr:colOff>
          <xdr:row>14</xdr:row>
          <xdr:rowOff>400050</xdr:rowOff>
        </xdr:to>
        <xdr:sp macro="" textlink="">
          <xdr:nvSpPr>
            <xdr:cNvPr id="34165" name="Check Box 373" hidden="1">
              <a:extLst>
                <a:ext uri="{63B3BB69-23CF-44E3-9099-C40C66FF867C}">
                  <a14:compatExt spid="_x0000_s34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1057275</xdr:colOff>
          <xdr:row>14</xdr:row>
          <xdr:rowOff>9525</xdr:rowOff>
        </xdr:from>
        <xdr:to>
          <xdr:col>5</xdr:col>
          <xdr:colOff>1485900</xdr:colOff>
          <xdr:row>15</xdr:row>
          <xdr:rowOff>9525</xdr:rowOff>
        </xdr:to>
        <xdr:sp macro="" textlink="">
          <xdr:nvSpPr>
            <xdr:cNvPr id="34166" name="Check Box 374" hidden="1">
              <a:extLst>
                <a:ext uri="{63B3BB69-23CF-44E3-9099-C40C66FF867C}">
                  <a14:compatExt spid="_x0000_s34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14</xdr:row>
          <xdr:rowOff>9525</xdr:rowOff>
        </xdr:from>
        <xdr:to>
          <xdr:col>6</xdr:col>
          <xdr:colOff>704850</xdr:colOff>
          <xdr:row>15</xdr:row>
          <xdr:rowOff>9525</xdr:rowOff>
        </xdr:to>
        <xdr:sp macro="" textlink="">
          <xdr:nvSpPr>
            <xdr:cNvPr id="34167" name="Check Box 375" hidden="1">
              <a:extLst>
                <a:ext uri="{63B3BB69-23CF-44E3-9099-C40C66FF867C}">
                  <a14:compatExt spid="_x0000_s34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1057275</xdr:colOff>
          <xdr:row>14</xdr:row>
          <xdr:rowOff>9525</xdr:rowOff>
        </xdr:from>
        <xdr:to>
          <xdr:col>6</xdr:col>
          <xdr:colOff>1485900</xdr:colOff>
          <xdr:row>15</xdr:row>
          <xdr:rowOff>9525</xdr:rowOff>
        </xdr:to>
        <xdr:sp macro="" textlink="">
          <xdr:nvSpPr>
            <xdr:cNvPr id="34168" name="Check Box 376" hidden="1">
              <a:extLst>
                <a:ext uri="{63B3BB69-23CF-44E3-9099-C40C66FF867C}">
                  <a14:compatExt spid="_x0000_s34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22</xdr:row>
          <xdr:rowOff>9525</xdr:rowOff>
        </xdr:from>
        <xdr:to>
          <xdr:col>5</xdr:col>
          <xdr:colOff>704850</xdr:colOff>
          <xdr:row>23</xdr:row>
          <xdr:rowOff>9525</xdr:rowOff>
        </xdr:to>
        <xdr:sp macro="" textlink="">
          <xdr:nvSpPr>
            <xdr:cNvPr id="34207" name="Check Box 415" hidden="1">
              <a:extLst>
                <a:ext uri="{63B3BB69-23CF-44E3-9099-C40C66FF867C}">
                  <a14:compatExt spid="_x0000_s34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1057275</xdr:colOff>
          <xdr:row>22</xdr:row>
          <xdr:rowOff>9525</xdr:rowOff>
        </xdr:from>
        <xdr:to>
          <xdr:col>5</xdr:col>
          <xdr:colOff>1485900</xdr:colOff>
          <xdr:row>23</xdr:row>
          <xdr:rowOff>9525</xdr:rowOff>
        </xdr:to>
        <xdr:sp macro="" textlink="">
          <xdr:nvSpPr>
            <xdr:cNvPr id="34208" name="Check Box 416" hidden="1">
              <a:extLst>
                <a:ext uri="{63B3BB69-23CF-44E3-9099-C40C66FF867C}">
                  <a14:compatExt spid="_x0000_s34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22</xdr:row>
          <xdr:rowOff>9525</xdr:rowOff>
        </xdr:from>
        <xdr:to>
          <xdr:col>6</xdr:col>
          <xdr:colOff>704850</xdr:colOff>
          <xdr:row>23</xdr:row>
          <xdr:rowOff>9525</xdr:rowOff>
        </xdr:to>
        <xdr:sp macro="" textlink="">
          <xdr:nvSpPr>
            <xdr:cNvPr id="34209" name="Check Box 417" hidden="1">
              <a:extLst>
                <a:ext uri="{63B3BB69-23CF-44E3-9099-C40C66FF867C}">
                  <a14:compatExt spid="_x0000_s34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1057275</xdr:colOff>
          <xdr:row>22</xdr:row>
          <xdr:rowOff>9525</xdr:rowOff>
        </xdr:from>
        <xdr:to>
          <xdr:col>6</xdr:col>
          <xdr:colOff>1485900</xdr:colOff>
          <xdr:row>23</xdr:row>
          <xdr:rowOff>9525</xdr:rowOff>
        </xdr:to>
        <xdr:sp macro="" textlink="">
          <xdr:nvSpPr>
            <xdr:cNvPr id="34210" name="Check Box 418" hidden="1">
              <a:extLst>
                <a:ext uri="{63B3BB69-23CF-44E3-9099-C40C66FF867C}">
                  <a14:compatExt spid="_x0000_s34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23</xdr:row>
          <xdr:rowOff>9525</xdr:rowOff>
        </xdr:from>
        <xdr:to>
          <xdr:col>5</xdr:col>
          <xdr:colOff>704850</xdr:colOff>
          <xdr:row>24</xdr:row>
          <xdr:rowOff>9525</xdr:rowOff>
        </xdr:to>
        <xdr:sp macro="" textlink="">
          <xdr:nvSpPr>
            <xdr:cNvPr id="34213" name="Check Box 421" hidden="1">
              <a:extLst>
                <a:ext uri="{63B3BB69-23CF-44E3-9099-C40C66FF867C}">
                  <a14:compatExt spid="_x0000_s34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1057275</xdr:colOff>
          <xdr:row>23</xdr:row>
          <xdr:rowOff>9525</xdr:rowOff>
        </xdr:from>
        <xdr:to>
          <xdr:col>5</xdr:col>
          <xdr:colOff>1485900</xdr:colOff>
          <xdr:row>24</xdr:row>
          <xdr:rowOff>9525</xdr:rowOff>
        </xdr:to>
        <xdr:sp macro="" textlink="">
          <xdr:nvSpPr>
            <xdr:cNvPr id="34214" name="Check Box 422" hidden="1">
              <a:extLst>
                <a:ext uri="{63B3BB69-23CF-44E3-9099-C40C66FF867C}">
                  <a14:compatExt spid="_x0000_s34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23</xdr:row>
          <xdr:rowOff>9525</xdr:rowOff>
        </xdr:from>
        <xdr:to>
          <xdr:col>6</xdr:col>
          <xdr:colOff>704850</xdr:colOff>
          <xdr:row>24</xdr:row>
          <xdr:rowOff>9525</xdr:rowOff>
        </xdr:to>
        <xdr:sp macro="" textlink="">
          <xdr:nvSpPr>
            <xdr:cNvPr id="34215" name="Check Box 423" hidden="1">
              <a:extLst>
                <a:ext uri="{63B3BB69-23CF-44E3-9099-C40C66FF867C}">
                  <a14:compatExt spid="_x0000_s34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1057275</xdr:colOff>
          <xdr:row>23</xdr:row>
          <xdr:rowOff>0</xdr:rowOff>
        </xdr:from>
        <xdr:to>
          <xdr:col>6</xdr:col>
          <xdr:colOff>1485900</xdr:colOff>
          <xdr:row>24</xdr:row>
          <xdr:rowOff>0</xdr:rowOff>
        </xdr:to>
        <xdr:sp macro="" textlink="">
          <xdr:nvSpPr>
            <xdr:cNvPr id="34216" name="Check Box 424" hidden="1">
              <a:extLst>
                <a:ext uri="{63B3BB69-23CF-44E3-9099-C40C66FF867C}">
                  <a14:compatExt spid="_x0000_s34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24</xdr:row>
          <xdr:rowOff>9525</xdr:rowOff>
        </xdr:from>
        <xdr:to>
          <xdr:col>5</xdr:col>
          <xdr:colOff>704850</xdr:colOff>
          <xdr:row>25</xdr:row>
          <xdr:rowOff>9525</xdr:rowOff>
        </xdr:to>
        <xdr:sp macro="" textlink="">
          <xdr:nvSpPr>
            <xdr:cNvPr id="34219" name="Check Box 427" hidden="1">
              <a:extLst>
                <a:ext uri="{63B3BB69-23CF-44E3-9099-C40C66FF867C}">
                  <a14:compatExt spid="_x0000_s34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1057275</xdr:colOff>
          <xdr:row>24</xdr:row>
          <xdr:rowOff>0</xdr:rowOff>
        </xdr:from>
        <xdr:to>
          <xdr:col>5</xdr:col>
          <xdr:colOff>1485900</xdr:colOff>
          <xdr:row>25</xdr:row>
          <xdr:rowOff>0</xdr:rowOff>
        </xdr:to>
        <xdr:sp macro="" textlink="">
          <xdr:nvSpPr>
            <xdr:cNvPr id="34220" name="Check Box 428" hidden="1">
              <a:extLst>
                <a:ext uri="{63B3BB69-23CF-44E3-9099-C40C66FF867C}">
                  <a14:compatExt spid="_x0000_s34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24</xdr:row>
          <xdr:rowOff>0</xdr:rowOff>
        </xdr:from>
        <xdr:to>
          <xdr:col>6</xdr:col>
          <xdr:colOff>704850</xdr:colOff>
          <xdr:row>25</xdr:row>
          <xdr:rowOff>0</xdr:rowOff>
        </xdr:to>
        <xdr:sp macro="" textlink="">
          <xdr:nvSpPr>
            <xdr:cNvPr id="34221" name="Check Box 429" hidden="1">
              <a:extLst>
                <a:ext uri="{63B3BB69-23CF-44E3-9099-C40C66FF867C}">
                  <a14:compatExt spid="_x0000_s34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1057275</xdr:colOff>
          <xdr:row>24</xdr:row>
          <xdr:rowOff>9525</xdr:rowOff>
        </xdr:from>
        <xdr:to>
          <xdr:col>6</xdr:col>
          <xdr:colOff>1485900</xdr:colOff>
          <xdr:row>25</xdr:row>
          <xdr:rowOff>9525</xdr:rowOff>
        </xdr:to>
        <xdr:sp macro="" textlink="">
          <xdr:nvSpPr>
            <xdr:cNvPr id="34222" name="Check Box 430" hidden="1">
              <a:extLst>
                <a:ext uri="{63B3BB69-23CF-44E3-9099-C40C66FF867C}">
                  <a14:compatExt spid="_x0000_s34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25</xdr:row>
          <xdr:rowOff>0</xdr:rowOff>
        </xdr:from>
        <xdr:to>
          <xdr:col>5</xdr:col>
          <xdr:colOff>704850</xdr:colOff>
          <xdr:row>26</xdr:row>
          <xdr:rowOff>0</xdr:rowOff>
        </xdr:to>
        <xdr:sp macro="" textlink="">
          <xdr:nvSpPr>
            <xdr:cNvPr id="34225" name="Check Box 433" hidden="1">
              <a:extLst>
                <a:ext uri="{63B3BB69-23CF-44E3-9099-C40C66FF867C}">
                  <a14:compatExt spid="_x0000_s34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1057275</xdr:colOff>
          <xdr:row>25</xdr:row>
          <xdr:rowOff>9525</xdr:rowOff>
        </xdr:from>
        <xdr:to>
          <xdr:col>5</xdr:col>
          <xdr:colOff>1485900</xdr:colOff>
          <xdr:row>26</xdr:row>
          <xdr:rowOff>9525</xdr:rowOff>
        </xdr:to>
        <xdr:sp macro="" textlink="">
          <xdr:nvSpPr>
            <xdr:cNvPr id="34226" name="Check Box 434" hidden="1">
              <a:extLst>
                <a:ext uri="{63B3BB69-23CF-44E3-9099-C40C66FF867C}">
                  <a14:compatExt spid="_x0000_s34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25</xdr:row>
          <xdr:rowOff>9525</xdr:rowOff>
        </xdr:from>
        <xdr:to>
          <xdr:col>6</xdr:col>
          <xdr:colOff>704850</xdr:colOff>
          <xdr:row>26</xdr:row>
          <xdr:rowOff>9525</xdr:rowOff>
        </xdr:to>
        <xdr:sp macro="" textlink="">
          <xdr:nvSpPr>
            <xdr:cNvPr id="34227" name="Check Box 435" hidden="1">
              <a:extLst>
                <a:ext uri="{63B3BB69-23CF-44E3-9099-C40C66FF867C}">
                  <a14:compatExt spid="_x0000_s34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1057275</xdr:colOff>
          <xdr:row>25</xdr:row>
          <xdr:rowOff>9525</xdr:rowOff>
        </xdr:from>
        <xdr:to>
          <xdr:col>6</xdr:col>
          <xdr:colOff>1485900</xdr:colOff>
          <xdr:row>26</xdr:row>
          <xdr:rowOff>9525</xdr:rowOff>
        </xdr:to>
        <xdr:sp macro="" textlink="">
          <xdr:nvSpPr>
            <xdr:cNvPr id="34228" name="Check Box 436" hidden="1">
              <a:extLst>
                <a:ext uri="{63B3BB69-23CF-44E3-9099-C40C66FF867C}">
                  <a14:compatExt spid="_x0000_s34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952500</xdr:colOff>
          <xdr:row>30</xdr:row>
          <xdr:rowOff>9525</xdr:rowOff>
        </xdr:from>
        <xdr:to>
          <xdr:col>6</xdr:col>
          <xdr:colOff>314325</xdr:colOff>
          <xdr:row>30</xdr:row>
          <xdr:rowOff>600075</xdr:rowOff>
        </xdr:to>
        <xdr:sp macro="" textlink="">
          <xdr:nvSpPr>
            <xdr:cNvPr id="34586" name="Check Box 794" hidden="1">
              <a:extLst>
                <a:ext uri="{63B3BB69-23CF-44E3-9099-C40C66FF867C}">
                  <a14:compatExt spid="_x0000_s34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30</xdr:row>
          <xdr:rowOff>9525</xdr:rowOff>
        </xdr:from>
        <xdr:to>
          <xdr:col>6</xdr:col>
          <xdr:colOff>1409700</xdr:colOff>
          <xdr:row>30</xdr:row>
          <xdr:rowOff>600075</xdr:rowOff>
        </xdr:to>
        <xdr:sp macro="" textlink="">
          <xdr:nvSpPr>
            <xdr:cNvPr id="34587" name="Check Box 795" hidden="1">
              <a:extLst>
                <a:ext uri="{63B3BB69-23CF-44E3-9099-C40C66FF867C}">
                  <a14:compatExt spid="_x0000_s34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73</xdr:row>
          <xdr:rowOff>9525</xdr:rowOff>
        </xdr:from>
        <xdr:to>
          <xdr:col>3</xdr:col>
          <xdr:colOff>847725</xdr:colOff>
          <xdr:row>74</xdr:row>
          <xdr:rowOff>0</xdr:rowOff>
        </xdr:to>
        <xdr:sp macro="" textlink="">
          <xdr:nvSpPr>
            <xdr:cNvPr id="34595" name="Check Box 803" hidden="1">
              <a:extLst>
                <a:ext uri="{63B3BB69-23CF-44E3-9099-C40C66FF867C}">
                  <a14:compatExt spid="_x0000_s34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1038225</xdr:colOff>
          <xdr:row>73</xdr:row>
          <xdr:rowOff>9525</xdr:rowOff>
        </xdr:from>
        <xdr:to>
          <xdr:col>3</xdr:col>
          <xdr:colOff>1619250</xdr:colOff>
          <xdr:row>74</xdr:row>
          <xdr:rowOff>0</xdr:rowOff>
        </xdr:to>
        <xdr:sp macro="" textlink="">
          <xdr:nvSpPr>
            <xdr:cNvPr id="34596" name="Check Box 804" hidden="1">
              <a:extLst>
                <a:ext uri="{63B3BB69-23CF-44E3-9099-C40C66FF867C}">
                  <a14:compatExt spid="_x0000_s34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74</xdr:row>
          <xdr:rowOff>9525</xdr:rowOff>
        </xdr:from>
        <xdr:to>
          <xdr:col>3</xdr:col>
          <xdr:colOff>847725</xdr:colOff>
          <xdr:row>75</xdr:row>
          <xdr:rowOff>0</xdr:rowOff>
        </xdr:to>
        <xdr:sp macro="" textlink="">
          <xdr:nvSpPr>
            <xdr:cNvPr id="34598" name="Check Box 806" hidden="1">
              <a:extLst>
                <a:ext uri="{63B3BB69-23CF-44E3-9099-C40C66FF867C}">
                  <a14:compatExt spid="_x0000_s34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1038225</xdr:colOff>
          <xdr:row>74</xdr:row>
          <xdr:rowOff>9525</xdr:rowOff>
        </xdr:from>
        <xdr:to>
          <xdr:col>3</xdr:col>
          <xdr:colOff>1619250</xdr:colOff>
          <xdr:row>74</xdr:row>
          <xdr:rowOff>495300</xdr:rowOff>
        </xdr:to>
        <xdr:sp macro="" textlink="">
          <xdr:nvSpPr>
            <xdr:cNvPr id="34599" name="Check Box 807" hidden="1">
              <a:extLst>
                <a:ext uri="{63B3BB69-23CF-44E3-9099-C40C66FF867C}">
                  <a14:compatExt spid="_x0000_s34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75</xdr:row>
          <xdr:rowOff>9525</xdr:rowOff>
        </xdr:from>
        <xdr:to>
          <xdr:col>3</xdr:col>
          <xdr:colOff>847725</xdr:colOff>
          <xdr:row>76</xdr:row>
          <xdr:rowOff>0</xdr:rowOff>
        </xdr:to>
        <xdr:sp macro="" textlink="">
          <xdr:nvSpPr>
            <xdr:cNvPr id="34604" name="Check Box 812" hidden="1">
              <a:extLst>
                <a:ext uri="{63B3BB69-23CF-44E3-9099-C40C66FF867C}">
                  <a14:compatExt spid="_x0000_s34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1038225</xdr:colOff>
          <xdr:row>75</xdr:row>
          <xdr:rowOff>9525</xdr:rowOff>
        </xdr:from>
        <xdr:to>
          <xdr:col>3</xdr:col>
          <xdr:colOff>1619250</xdr:colOff>
          <xdr:row>76</xdr:row>
          <xdr:rowOff>0</xdr:rowOff>
        </xdr:to>
        <xdr:sp macro="" textlink="">
          <xdr:nvSpPr>
            <xdr:cNvPr id="34605" name="Check Box 813" hidden="1">
              <a:extLst>
                <a:ext uri="{63B3BB69-23CF-44E3-9099-C40C66FF867C}">
                  <a14:compatExt spid="_x0000_s34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xdr:twoCellAnchor>
    <xdr:from>
      <xdr:col>1</xdr:col>
      <xdr:colOff>21198</xdr:colOff>
      <xdr:row>0</xdr:row>
      <xdr:rowOff>74086</xdr:rowOff>
    </xdr:from>
    <xdr:to>
      <xdr:col>6</xdr:col>
      <xdr:colOff>1708623</xdr:colOff>
      <xdr:row>5</xdr:row>
      <xdr:rowOff>147936</xdr:rowOff>
    </xdr:to>
    <xdr:sp macro="" textlink="">
      <xdr:nvSpPr>
        <xdr:cNvPr id="147" name="Rectangle 146"/>
        <xdr:cNvSpPr/>
      </xdr:nvSpPr>
      <xdr:spPr>
        <a:xfrm>
          <a:off x="632386" y="74086"/>
          <a:ext cx="11926800" cy="867600"/>
        </a:xfrm>
        <a:prstGeom prst="rect">
          <a:avLst/>
        </a:prstGeom>
        <a:solidFill>
          <a:sysClr val="window" lastClr="FFFFFF"/>
        </a:solidFill>
        <a:ln w="25400">
          <a:solidFill>
            <a:schemeClr val="tx1">
              <a:alpha val="50000"/>
            </a:schemeClr>
          </a:solidFill>
        </a:ln>
        <a:scene3d>
          <a:camera prst="orthographicFront"/>
          <a:lightRig rig="threePt" dir="t"/>
        </a:scene3d>
        <a:sp3d prstMaterial="dkEdge">
          <a:bevelB w="0" h="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0" rtlCol="0" anchor="ctr">
          <a:sp3d>
            <a:bevelT w="38100"/>
            <a:bevelB w="38100"/>
          </a:sp3d>
        </a:bodyPr>
        <a:lstStyle/>
        <a:p>
          <a:pPr lvl="8" algn="l"/>
          <a:r>
            <a:rPr lang="en-IE" sz="1400" b="1">
              <a:solidFill>
                <a:sysClr val="windowText" lastClr="000000"/>
              </a:solidFill>
              <a:latin typeface="Lato" panose="020F0502020204030203" pitchFamily="34" charset="0"/>
            </a:rPr>
            <a:t>            Ownership &amp; Management</a:t>
          </a:r>
        </a:p>
      </xdr:txBody>
    </xdr:sp>
    <xdr:clientData/>
  </xdr:twoCellAnchor>
  <xdr:twoCellAnchor editAs="oneCell">
    <xdr:from>
      <xdr:col>1</xdr:col>
      <xdr:colOff>57185</xdr:colOff>
      <xdr:row>1</xdr:row>
      <xdr:rowOff>7415</xdr:rowOff>
    </xdr:from>
    <xdr:to>
      <xdr:col>2</xdr:col>
      <xdr:colOff>380210</xdr:colOff>
      <xdr:row>5</xdr:row>
      <xdr:rowOff>7715</xdr:rowOff>
    </xdr:to>
    <xdr:pic>
      <xdr:nvPicPr>
        <xdr:cNvPr id="148" name="Picture 147" descr="http://plaza/comms/Useful%20Communictions%20Documents/cb-logo-colour_2017.jpg"/>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8373" y="166165"/>
          <a:ext cx="3704400" cy="635300"/>
        </a:xfrm>
        <a:prstGeom prst="rect">
          <a:avLst/>
        </a:prstGeom>
        <a:noFill/>
        <a:ln cap="rnd">
          <a:noFill/>
          <a:miter lim="800000"/>
        </a:ln>
        <a:effectLst/>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4</xdr:col>
          <xdr:colOff>962025</xdr:colOff>
          <xdr:row>52</xdr:row>
          <xdr:rowOff>9525</xdr:rowOff>
        </xdr:from>
        <xdr:to>
          <xdr:col>5</xdr:col>
          <xdr:colOff>323850</xdr:colOff>
          <xdr:row>52</xdr:row>
          <xdr:rowOff>495300</xdr:rowOff>
        </xdr:to>
        <xdr:sp macro="" textlink="">
          <xdr:nvSpPr>
            <xdr:cNvPr id="34667" name="Check Box 875" hidden="1">
              <a:extLst>
                <a:ext uri="{63B3BB69-23CF-44E3-9099-C40C66FF867C}">
                  <a14:compatExt spid="_x0000_s34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52</xdr:row>
          <xdr:rowOff>9525</xdr:rowOff>
        </xdr:from>
        <xdr:to>
          <xdr:col>5</xdr:col>
          <xdr:colOff>1419225</xdr:colOff>
          <xdr:row>52</xdr:row>
          <xdr:rowOff>495300</xdr:rowOff>
        </xdr:to>
        <xdr:sp macro="" textlink="">
          <xdr:nvSpPr>
            <xdr:cNvPr id="34668" name="Check Box 876" hidden="1">
              <a:extLst>
                <a:ext uri="{63B3BB69-23CF-44E3-9099-C40C66FF867C}">
                  <a14:compatExt spid="_x0000_s34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59</xdr:row>
          <xdr:rowOff>19050</xdr:rowOff>
        </xdr:from>
        <xdr:to>
          <xdr:col>4</xdr:col>
          <xdr:colOff>1476375</xdr:colOff>
          <xdr:row>59</xdr:row>
          <xdr:rowOff>685800</xdr:rowOff>
        </xdr:to>
        <xdr:sp macro="" textlink="">
          <xdr:nvSpPr>
            <xdr:cNvPr id="34670" name="Check Box 878" hidden="1">
              <a:extLst>
                <a:ext uri="{63B3BB69-23CF-44E3-9099-C40C66FF867C}">
                  <a14:compatExt spid="_x0000_s34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1495425</xdr:colOff>
          <xdr:row>59</xdr:row>
          <xdr:rowOff>19050</xdr:rowOff>
        </xdr:from>
        <xdr:to>
          <xdr:col>5</xdr:col>
          <xdr:colOff>590550</xdr:colOff>
          <xdr:row>59</xdr:row>
          <xdr:rowOff>685800</xdr:rowOff>
        </xdr:to>
        <xdr:sp macro="" textlink="">
          <xdr:nvSpPr>
            <xdr:cNvPr id="34671" name="Check Box 879" hidden="1">
              <a:extLst>
                <a:ext uri="{63B3BB69-23CF-44E3-9099-C40C66FF867C}">
                  <a14:compatExt spid="_x0000_s34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609600</xdr:colOff>
          <xdr:row>59</xdr:row>
          <xdr:rowOff>19050</xdr:rowOff>
        </xdr:from>
        <xdr:to>
          <xdr:col>5</xdr:col>
          <xdr:colOff>1419225</xdr:colOff>
          <xdr:row>59</xdr:row>
          <xdr:rowOff>685800</xdr:rowOff>
        </xdr:to>
        <xdr:sp macro="" textlink="">
          <xdr:nvSpPr>
            <xdr:cNvPr id="34672" name="Check Box 880" hidden="1">
              <a:extLst>
                <a:ext uri="{63B3BB69-23CF-44E3-9099-C40C66FF867C}">
                  <a14:compatExt spid="_x0000_s34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11</xdr:row>
          <xdr:rowOff>9525</xdr:rowOff>
        </xdr:from>
        <xdr:to>
          <xdr:col>5</xdr:col>
          <xdr:colOff>695325</xdr:colOff>
          <xdr:row>12</xdr:row>
          <xdr:rowOff>9525</xdr:rowOff>
        </xdr:to>
        <xdr:sp macro="" textlink="">
          <xdr:nvSpPr>
            <xdr:cNvPr id="34675" name="Check Box 883" hidden="1">
              <a:extLst>
                <a:ext uri="{63B3BB69-23CF-44E3-9099-C40C66FF867C}">
                  <a14:compatExt spid="_x0000_s34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38</xdr:row>
          <xdr:rowOff>0</xdr:rowOff>
        </xdr:from>
        <xdr:to>
          <xdr:col>3</xdr:col>
          <xdr:colOff>704850</xdr:colOff>
          <xdr:row>39</xdr:row>
          <xdr:rowOff>0</xdr:rowOff>
        </xdr:to>
        <xdr:sp macro="" textlink="">
          <xdr:nvSpPr>
            <xdr:cNvPr id="34680" name="Check Box 888" hidden="1">
              <a:extLst>
                <a:ext uri="{63B3BB69-23CF-44E3-9099-C40C66FF867C}">
                  <a14:compatExt spid="_x0000_s34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1057275</xdr:colOff>
          <xdr:row>38</xdr:row>
          <xdr:rowOff>9525</xdr:rowOff>
        </xdr:from>
        <xdr:to>
          <xdr:col>3</xdr:col>
          <xdr:colOff>1485900</xdr:colOff>
          <xdr:row>39</xdr:row>
          <xdr:rowOff>9525</xdr:rowOff>
        </xdr:to>
        <xdr:sp macro="" textlink="">
          <xdr:nvSpPr>
            <xdr:cNvPr id="34681" name="Check Box 889" hidden="1">
              <a:extLst>
                <a:ext uri="{63B3BB69-23CF-44E3-9099-C40C66FF867C}">
                  <a14:compatExt spid="_x0000_s34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39</xdr:row>
          <xdr:rowOff>0</xdr:rowOff>
        </xdr:from>
        <xdr:to>
          <xdr:col>3</xdr:col>
          <xdr:colOff>704850</xdr:colOff>
          <xdr:row>40</xdr:row>
          <xdr:rowOff>0</xdr:rowOff>
        </xdr:to>
        <xdr:sp macro="" textlink="">
          <xdr:nvSpPr>
            <xdr:cNvPr id="34682" name="Check Box 890" hidden="1">
              <a:extLst>
                <a:ext uri="{63B3BB69-23CF-44E3-9099-C40C66FF867C}">
                  <a14:compatExt spid="_x0000_s34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1057275</xdr:colOff>
          <xdr:row>39</xdr:row>
          <xdr:rowOff>9525</xdr:rowOff>
        </xdr:from>
        <xdr:to>
          <xdr:col>3</xdr:col>
          <xdr:colOff>1485900</xdr:colOff>
          <xdr:row>40</xdr:row>
          <xdr:rowOff>9525</xdr:rowOff>
        </xdr:to>
        <xdr:sp macro="" textlink="">
          <xdr:nvSpPr>
            <xdr:cNvPr id="34683" name="Check Box 891" hidden="1">
              <a:extLst>
                <a:ext uri="{63B3BB69-23CF-44E3-9099-C40C66FF867C}">
                  <a14:compatExt spid="_x0000_s34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40</xdr:row>
          <xdr:rowOff>0</xdr:rowOff>
        </xdr:from>
        <xdr:to>
          <xdr:col>3</xdr:col>
          <xdr:colOff>704850</xdr:colOff>
          <xdr:row>41</xdr:row>
          <xdr:rowOff>0</xdr:rowOff>
        </xdr:to>
        <xdr:sp macro="" textlink="">
          <xdr:nvSpPr>
            <xdr:cNvPr id="34684" name="Check Box 892" hidden="1">
              <a:extLst>
                <a:ext uri="{63B3BB69-23CF-44E3-9099-C40C66FF867C}">
                  <a14:compatExt spid="_x0000_s34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1057275</xdr:colOff>
          <xdr:row>40</xdr:row>
          <xdr:rowOff>9525</xdr:rowOff>
        </xdr:from>
        <xdr:to>
          <xdr:col>3</xdr:col>
          <xdr:colOff>1485900</xdr:colOff>
          <xdr:row>41</xdr:row>
          <xdr:rowOff>9525</xdr:rowOff>
        </xdr:to>
        <xdr:sp macro="" textlink="">
          <xdr:nvSpPr>
            <xdr:cNvPr id="34685" name="Check Box 893" hidden="1">
              <a:extLst>
                <a:ext uri="{63B3BB69-23CF-44E3-9099-C40C66FF867C}">
                  <a14:compatExt spid="_x0000_s34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41</xdr:row>
          <xdr:rowOff>0</xdr:rowOff>
        </xdr:from>
        <xdr:to>
          <xdr:col>3</xdr:col>
          <xdr:colOff>704850</xdr:colOff>
          <xdr:row>42</xdr:row>
          <xdr:rowOff>0</xdr:rowOff>
        </xdr:to>
        <xdr:sp macro="" textlink="">
          <xdr:nvSpPr>
            <xdr:cNvPr id="34686" name="Check Box 894" hidden="1">
              <a:extLst>
                <a:ext uri="{63B3BB69-23CF-44E3-9099-C40C66FF867C}">
                  <a14:compatExt spid="_x0000_s34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1057275</xdr:colOff>
          <xdr:row>41</xdr:row>
          <xdr:rowOff>9525</xdr:rowOff>
        </xdr:from>
        <xdr:to>
          <xdr:col>3</xdr:col>
          <xdr:colOff>1485900</xdr:colOff>
          <xdr:row>42</xdr:row>
          <xdr:rowOff>9525</xdr:rowOff>
        </xdr:to>
        <xdr:sp macro="" textlink="">
          <xdr:nvSpPr>
            <xdr:cNvPr id="34687" name="Check Box 895" hidden="1">
              <a:extLst>
                <a:ext uri="{63B3BB69-23CF-44E3-9099-C40C66FF867C}">
                  <a14:compatExt spid="_x0000_s34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42</xdr:row>
          <xdr:rowOff>0</xdr:rowOff>
        </xdr:from>
        <xdr:to>
          <xdr:col>3</xdr:col>
          <xdr:colOff>704850</xdr:colOff>
          <xdr:row>43</xdr:row>
          <xdr:rowOff>0</xdr:rowOff>
        </xdr:to>
        <xdr:sp macro="" textlink="">
          <xdr:nvSpPr>
            <xdr:cNvPr id="34688" name="Check Box 896" hidden="1">
              <a:extLst>
                <a:ext uri="{63B3BB69-23CF-44E3-9099-C40C66FF867C}">
                  <a14:compatExt spid="_x0000_s34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1057275</xdr:colOff>
          <xdr:row>42</xdr:row>
          <xdr:rowOff>9525</xdr:rowOff>
        </xdr:from>
        <xdr:to>
          <xdr:col>3</xdr:col>
          <xdr:colOff>1485900</xdr:colOff>
          <xdr:row>43</xdr:row>
          <xdr:rowOff>9525</xdr:rowOff>
        </xdr:to>
        <xdr:sp macro="" textlink="">
          <xdr:nvSpPr>
            <xdr:cNvPr id="34689" name="Check Box 897" hidden="1">
              <a:extLst>
                <a:ext uri="{63B3BB69-23CF-44E3-9099-C40C66FF867C}">
                  <a14:compatExt spid="_x0000_s34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43</xdr:row>
          <xdr:rowOff>0</xdr:rowOff>
        </xdr:from>
        <xdr:to>
          <xdr:col>3</xdr:col>
          <xdr:colOff>704850</xdr:colOff>
          <xdr:row>44</xdr:row>
          <xdr:rowOff>0</xdr:rowOff>
        </xdr:to>
        <xdr:sp macro="" textlink="">
          <xdr:nvSpPr>
            <xdr:cNvPr id="34690" name="Check Box 898" hidden="1">
              <a:extLst>
                <a:ext uri="{63B3BB69-23CF-44E3-9099-C40C66FF867C}">
                  <a14:compatExt spid="_x0000_s34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1057275</xdr:colOff>
          <xdr:row>43</xdr:row>
          <xdr:rowOff>9525</xdr:rowOff>
        </xdr:from>
        <xdr:to>
          <xdr:col>3</xdr:col>
          <xdr:colOff>1485900</xdr:colOff>
          <xdr:row>44</xdr:row>
          <xdr:rowOff>9525</xdr:rowOff>
        </xdr:to>
        <xdr:sp macro="" textlink="">
          <xdr:nvSpPr>
            <xdr:cNvPr id="34691" name="Check Box 899" hidden="1">
              <a:extLst>
                <a:ext uri="{63B3BB69-23CF-44E3-9099-C40C66FF867C}">
                  <a14:compatExt spid="_x0000_s34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44</xdr:row>
          <xdr:rowOff>0</xdr:rowOff>
        </xdr:from>
        <xdr:to>
          <xdr:col>3</xdr:col>
          <xdr:colOff>704850</xdr:colOff>
          <xdr:row>45</xdr:row>
          <xdr:rowOff>0</xdr:rowOff>
        </xdr:to>
        <xdr:sp macro="" textlink="">
          <xdr:nvSpPr>
            <xdr:cNvPr id="34692" name="Check Box 900" hidden="1">
              <a:extLst>
                <a:ext uri="{63B3BB69-23CF-44E3-9099-C40C66FF867C}">
                  <a14:compatExt spid="_x0000_s34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1057275</xdr:colOff>
          <xdr:row>44</xdr:row>
          <xdr:rowOff>9525</xdr:rowOff>
        </xdr:from>
        <xdr:to>
          <xdr:col>3</xdr:col>
          <xdr:colOff>1485900</xdr:colOff>
          <xdr:row>45</xdr:row>
          <xdr:rowOff>9525</xdr:rowOff>
        </xdr:to>
        <xdr:sp macro="" textlink="">
          <xdr:nvSpPr>
            <xdr:cNvPr id="34693" name="Check Box 901" hidden="1">
              <a:extLst>
                <a:ext uri="{63B3BB69-23CF-44E3-9099-C40C66FF867C}">
                  <a14:compatExt spid="_x0000_s34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45</xdr:row>
          <xdr:rowOff>0</xdr:rowOff>
        </xdr:from>
        <xdr:to>
          <xdr:col>3</xdr:col>
          <xdr:colOff>704850</xdr:colOff>
          <xdr:row>46</xdr:row>
          <xdr:rowOff>0</xdr:rowOff>
        </xdr:to>
        <xdr:sp macro="" textlink="">
          <xdr:nvSpPr>
            <xdr:cNvPr id="34694" name="Check Box 902" hidden="1">
              <a:extLst>
                <a:ext uri="{63B3BB69-23CF-44E3-9099-C40C66FF867C}">
                  <a14:compatExt spid="_x0000_s34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1057275</xdr:colOff>
          <xdr:row>45</xdr:row>
          <xdr:rowOff>9525</xdr:rowOff>
        </xdr:from>
        <xdr:to>
          <xdr:col>3</xdr:col>
          <xdr:colOff>1485900</xdr:colOff>
          <xdr:row>46</xdr:row>
          <xdr:rowOff>9525</xdr:rowOff>
        </xdr:to>
        <xdr:sp macro="" textlink="">
          <xdr:nvSpPr>
            <xdr:cNvPr id="34695" name="Check Box 903" hidden="1">
              <a:extLst>
                <a:ext uri="{63B3BB69-23CF-44E3-9099-C40C66FF867C}">
                  <a14:compatExt spid="_x0000_s34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46</xdr:row>
          <xdr:rowOff>0</xdr:rowOff>
        </xdr:from>
        <xdr:to>
          <xdr:col>3</xdr:col>
          <xdr:colOff>704850</xdr:colOff>
          <xdr:row>47</xdr:row>
          <xdr:rowOff>0</xdr:rowOff>
        </xdr:to>
        <xdr:sp macro="" textlink="">
          <xdr:nvSpPr>
            <xdr:cNvPr id="34696" name="Check Box 904" hidden="1">
              <a:extLst>
                <a:ext uri="{63B3BB69-23CF-44E3-9099-C40C66FF867C}">
                  <a14:compatExt spid="_x0000_s34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1057275</xdr:colOff>
          <xdr:row>46</xdr:row>
          <xdr:rowOff>9525</xdr:rowOff>
        </xdr:from>
        <xdr:to>
          <xdr:col>3</xdr:col>
          <xdr:colOff>1485900</xdr:colOff>
          <xdr:row>47</xdr:row>
          <xdr:rowOff>9525</xdr:rowOff>
        </xdr:to>
        <xdr:sp macro="" textlink="">
          <xdr:nvSpPr>
            <xdr:cNvPr id="34697" name="Check Box 905" hidden="1">
              <a:extLst>
                <a:ext uri="{63B3BB69-23CF-44E3-9099-C40C66FF867C}">
                  <a14:compatExt spid="_x0000_s34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47</xdr:row>
          <xdr:rowOff>0</xdr:rowOff>
        </xdr:from>
        <xdr:to>
          <xdr:col>3</xdr:col>
          <xdr:colOff>704850</xdr:colOff>
          <xdr:row>48</xdr:row>
          <xdr:rowOff>0</xdr:rowOff>
        </xdr:to>
        <xdr:sp macro="" textlink="">
          <xdr:nvSpPr>
            <xdr:cNvPr id="34698" name="Check Box 906" hidden="1">
              <a:extLst>
                <a:ext uri="{63B3BB69-23CF-44E3-9099-C40C66FF867C}">
                  <a14:compatExt spid="_x0000_s34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1057275</xdr:colOff>
          <xdr:row>47</xdr:row>
          <xdr:rowOff>9525</xdr:rowOff>
        </xdr:from>
        <xdr:to>
          <xdr:col>3</xdr:col>
          <xdr:colOff>1485900</xdr:colOff>
          <xdr:row>48</xdr:row>
          <xdr:rowOff>9525</xdr:rowOff>
        </xdr:to>
        <xdr:sp macro="" textlink="">
          <xdr:nvSpPr>
            <xdr:cNvPr id="34699" name="Check Box 907" hidden="1">
              <a:extLst>
                <a:ext uri="{63B3BB69-23CF-44E3-9099-C40C66FF867C}">
                  <a14:compatExt spid="_x0000_s34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64</xdr:row>
          <xdr:rowOff>9525</xdr:rowOff>
        </xdr:from>
        <xdr:to>
          <xdr:col>4</xdr:col>
          <xdr:colOff>1476375</xdr:colOff>
          <xdr:row>65</xdr:row>
          <xdr:rowOff>9525</xdr:rowOff>
        </xdr:to>
        <xdr:sp macro="" textlink="">
          <xdr:nvSpPr>
            <xdr:cNvPr id="34710" name="Check Box 918" hidden="1">
              <a:extLst>
                <a:ext uri="{63B3BB69-23CF-44E3-9099-C40C66FF867C}">
                  <a14:compatExt spid="_x0000_s34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1495425</xdr:colOff>
          <xdr:row>64</xdr:row>
          <xdr:rowOff>9525</xdr:rowOff>
        </xdr:from>
        <xdr:to>
          <xdr:col>5</xdr:col>
          <xdr:colOff>590550</xdr:colOff>
          <xdr:row>65</xdr:row>
          <xdr:rowOff>9525</xdr:rowOff>
        </xdr:to>
        <xdr:sp macro="" textlink="">
          <xdr:nvSpPr>
            <xdr:cNvPr id="34711" name="Check Box 919" hidden="1">
              <a:extLst>
                <a:ext uri="{63B3BB69-23CF-44E3-9099-C40C66FF867C}">
                  <a14:compatExt spid="_x0000_s34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609600</xdr:colOff>
          <xdr:row>64</xdr:row>
          <xdr:rowOff>9525</xdr:rowOff>
        </xdr:from>
        <xdr:to>
          <xdr:col>5</xdr:col>
          <xdr:colOff>1419225</xdr:colOff>
          <xdr:row>65</xdr:row>
          <xdr:rowOff>9525</xdr:rowOff>
        </xdr:to>
        <xdr:sp macro="" textlink="">
          <xdr:nvSpPr>
            <xdr:cNvPr id="34712" name="Check Box 920" hidden="1">
              <a:extLst>
                <a:ext uri="{63B3BB69-23CF-44E3-9099-C40C66FF867C}">
                  <a14:compatExt spid="_x0000_s34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N/A</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723900</xdr:colOff>
          <xdr:row>51</xdr:row>
          <xdr:rowOff>9525</xdr:rowOff>
        </xdr:from>
        <xdr:to>
          <xdr:col>2</xdr:col>
          <xdr:colOff>1352550</xdr:colOff>
          <xdr:row>51</xdr:row>
          <xdr:rowOff>523875</xdr:rowOff>
        </xdr:to>
        <xdr:sp macro="" textlink="">
          <xdr:nvSpPr>
            <xdr:cNvPr id="17527" name="Check Box 119" hidden="1">
              <a:extLst>
                <a:ext uri="{63B3BB69-23CF-44E3-9099-C40C66FF867C}">
                  <a14:compatExt spid="_x0000_s17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1466850</xdr:colOff>
          <xdr:row>51</xdr:row>
          <xdr:rowOff>9525</xdr:rowOff>
        </xdr:from>
        <xdr:to>
          <xdr:col>2</xdr:col>
          <xdr:colOff>2095500</xdr:colOff>
          <xdr:row>51</xdr:row>
          <xdr:rowOff>523875</xdr:rowOff>
        </xdr:to>
        <xdr:sp macro="" textlink="">
          <xdr:nvSpPr>
            <xdr:cNvPr id="17528" name="Check Box 120" hidden="1">
              <a:extLst>
                <a:ext uri="{63B3BB69-23CF-44E3-9099-C40C66FF867C}">
                  <a14:compatExt spid="_x0000_s17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62</xdr:row>
          <xdr:rowOff>0</xdr:rowOff>
        </xdr:from>
        <xdr:to>
          <xdr:col>2</xdr:col>
          <xdr:colOff>1104900</xdr:colOff>
          <xdr:row>63</xdr:row>
          <xdr:rowOff>0</xdr:rowOff>
        </xdr:to>
        <xdr:sp macro="" textlink="">
          <xdr:nvSpPr>
            <xdr:cNvPr id="17594" name="Check Box 186" hidden="1">
              <a:extLst>
                <a:ext uri="{63B3BB69-23CF-44E3-9099-C40C66FF867C}">
                  <a14:compatExt spid="_x0000_s17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1143000</xdr:colOff>
          <xdr:row>62</xdr:row>
          <xdr:rowOff>9525</xdr:rowOff>
        </xdr:from>
        <xdr:to>
          <xdr:col>2</xdr:col>
          <xdr:colOff>1581150</xdr:colOff>
          <xdr:row>62</xdr:row>
          <xdr:rowOff>523875</xdr:rowOff>
        </xdr:to>
        <xdr:sp macro="" textlink="">
          <xdr:nvSpPr>
            <xdr:cNvPr id="17595" name="Check Box 187" hidden="1">
              <a:extLst>
                <a:ext uri="{63B3BB69-23CF-44E3-9099-C40C66FF867C}">
                  <a14:compatExt spid="_x0000_s17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1600200</xdr:colOff>
          <xdr:row>62</xdr:row>
          <xdr:rowOff>9525</xdr:rowOff>
        </xdr:from>
        <xdr:to>
          <xdr:col>2</xdr:col>
          <xdr:colOff>2057400</xdr:colOff>
          <xdr:row>63</xdr:row>
          <xdr:rowOff>0</xdr:rowOff>
        </xdr:to>
        <xdr:sp macro="" textlink="">
          <xdr:nvSpPr>
            <xdr:cNvPr id="17596" name="Check Box 188" hidden="1">
              <a:extLst>
                <a:ext uri="{63B3BB69-23CF-44E3-9099-C40C66FF867C}">
                  <a14:compatExt spid="_x0000_s17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N/A</a:t>
              </a:r>
            </a:p>
          </xdr:txBody>
        </xdr:sp>
        <xdr:clientData/>
      </xdr:twoCellAnchor>
    </mc:Choice>
    <mc:Fallback/>
  </mc:AlternateContent>
  <xdr:twoCellAnchor>
    <xdr:from>
      <xdr:col>1</xdr:col>
      <xdr:colOff>9524</xdr:colOff>
      <xdr:row>0</xdr:row>
      <xdr:rowOff>85725</xdr:rowOff>
    </xdr:from>
    <xdr:to>
      <xdr:col>2</xdr:col>
      <xdr:colOff>2714624</xdr:colOff>
      <xdr:row>5</xdr:row>
      <xdr:rowOff>143700</xdr:rowOff>
    </xdr:to>
    <xdr:sp macro="" textlink="">
      <xdr:nvSpPr>
        <xdr:cNvPr id="99" name="Rectangle 98"/>
        <xdr:cNvSpPr/>
      </xdr:nvSpPr>
      <xdr:spPr>
        <a:xfrm>
          <a:off x="619124" y="85725"/>
          <a:ext cx="8143875" cy="867600"/>
        </a:xfrm>
        <a:prstGeom prst="rect">
          <a:avLst/>
        </a:prstGeom>
        <a:solidFill>
          <a:sysClr val="window" lastClr="FFFFFF"/>
        </a:solidFill>
        <a:ln w="25400">
          <a:solidFill>
            <a:schemeClr val="tx1">
              <a:alpha val="50000"/>
            </a:schemeClr>
          </a:solidFill>
        </a:ln>
        <a:scene3d>
          <a:camera prst="orthographicFront"/>
          <a:lightRig rig="threePt" dir="t"/>
        </a:scene3d>
        <a:sp3d prstMaterial="dkEdge">
          <a:bevelB w="0" h="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0" rtlCol="0" anchor="ctr">
          <a:sp3d>
            <a:bevelT w="38100"/>
            <a:bevelB w="38100"/>
          </a:sp3d>
        </a:bodyPr>
        <a:lstStyle/>
        <a:p>
          <a:pPr lvl="8" algn="l"/>
          <a:r>
            <a:rPr lang="en-IE" sz="1400" b="1">
              <a:solidFill>
                <a:sysClr val="windowText" lastClr="000000"/>
              </a:solidFill>
              <a:latin typeface="Lato" panose="020F0502020204030203" pitchFamily="34" charset="0"/>
            </a:rPr>
            <a:t>                     AML/CFT/FS Governance</a:t>
          </a:r>
        </a:p>
      </xdr:txBody>
    </xdr:sp>
    <xdr:clientData/>
  </xdr:twoCellAnchor>
  <xdr:twoCellAnchor editAs="oneCell">
    <xdr:from>
      <xdr:col>1</xdr:col>
      <xdr:colOff>57150</xdr:colOff>
      <xdr:row>1</xdr:row>
      <xdr:rowOff>9525</xdr:rowOff>
    </xdr:from>
    <xdr:to>
      <xdr:col>1</xdr:col>
      <xdr:colOff>3761550</xdr:colOff>
      <xdr:row>5</xdr:row>
      <xdr:rowOff>9825</xdr:rowOff>
    </xdr:to>
    <xdr:pic>
      <xdr:nvPicPr>
        <xdr:cNvPr id="100" name="Picture 99" descr="http://plaza/comms/Useful%20Communictions%20Documents/cb-logo-colour_2017.jpg"/>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0" y="171450"/>
          <a:ext cx="3704400" cy="648000"/>
        </a:xfrm>
        <a:prstGeom prst="rect">
          <a:avLst/>
        </a:prstGeom>
        <a:noFill/>
        <a:ln cap="rnd">
          <a:noFill/>
          <a:miter lim="800000"/>
        </a:ln>
        <a:effectLst/>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723900</xdr:colOff>
          <xdr:row>52</xdr:row>
          <xdr:rowOff>9525</xdr:rowOff>
        </xdr:from>
        <xdr:to>
          <xdr:col>2</xdr:col>
          <xdr:colOff>1352550</xdr:colOff>
          <xdr:row>52</xdr:row>
          <xdr:rowOff>523875</xdr:rowOff>
        </xdr:to>
        <xdr:sp macro="" textlink="">
          <xdr:nvSpPr>
            <xdr:cNvPr id="17660" name="Check Box 252" hidden="1">
              <a:extLst>
                <a:ext uri="{63B3BB69-23CF-44E3-9099-C40C66FF867C}">
                  <a14:compatExt spid="_x0000_s17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1466850</xdr:colOff>
          <xdr:row>52</xdr:row>
          <xdr:rowOff>9525</xdr:rowOff>
        </xdr:from>
        <xdr:to>
          <xdr:col>2</xdr:col>
          <xdr:colOff>2095500</xdr:colOff>
          <xdr:row>52</xdr:row>
          <xdr:rowOff>523875</xdr:rowOff>
        </xdr:to>
        <xdr:sp macro="" textlink="">
          <xdr:nvSpPr>
            <xdr:cNvPr id="17661" name="Check Box 253" hidden="1">
              <a:extLst>
                <a:ext uri="{63B3BB69-23CF-44E3-9099-C40C66FF867C}">
                  <a14:compatExt spid="_x0000_s17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723900</xdr:colOff>
          <xdr:row>53</xdr:row>
          <xdr:rowOff>9525</xdr:rowOff>
        </xdr:from>
        <xdr:to>
          <xdr:col>2</xdr:col>
          <xdr:colOff>1352550</xdr:colOff>
          <xdr:row>53</xdr:row>
          <xdr:rowOff>523875</xdr:rowOff>
        </xdr:to>
        <xdr:sp macro="" textlink="">
          <xdr:nvSpPr>
            <xdr:cNvPr id="17662" name="Check Box 254" hidden="1">
              <a:extLst>
                <a:ext uri="{63B3BB69-23CF-44E3-9099-C40C66FF867C}">
                  <a14:compatExt spid="_x0000_s17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1466850</xdr:colOff>
          <xdr:row>53</xdr:row>
          <xdr:rowOff>9525</xdr:rowOff>
        </xdr:from>
        <xdr:to>
          <xdr:col>2</xdr:col>
          <xdr:colOff>2095500</xdr:colOff>
          <xdr:row>53</xdr:row>
          <xdr:rowOff>523875</xdr:rowOff>
        </xdr:to>
        <xdr:sp macro="" textlink="">
          <xdr:nvSpPr>
            <xdr:cNvPr id="17663" name="Check Box 255" hidden="1">
              <a:extLst>
                <a:ext uri="{63B3BB69-23CF-44E3-9099-C40C66FF867C}">
                  <a14:compatExt spid="_x0000_s17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723900</xdr:colOff>
          <xdr:row>54</xdr:row>
          <xdr:rowOff>9525</xdr:rowOff>
        </xdr:from>
        <xdr:to>
          <xdr:col>2</xdr:col>
          <xdr:colOff>1352550</xdr:colOff>
          <xdr:row>54</xdr:row>
          <xdr:rowOff>523875</xdr:rowOff>
        </xdr:to>
        <xdr:sp macro="" textlink="">
          <xdr:nvSpPr>
            <xdr:cNvPr id="17664" name="Check Box 256" hidden="1">
              <a:extLst>
                <a:ext uri="{63B3BB69-23CF-44E3-9099-C40C66FF867C}">
                  <a14:compatExt spid="_x0000_s17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1466850</xdr:colOff>
          <xdr:row>54</xdr:row>
          <xdr:rowOff>9525</xdr:rowOff>
        </xdr:from>
        <xdr:to>
          <xdr:col>2</xdr:col>
          <xdr:colOff>2095500</xdr:colOff>
          <xdr:row>54</xdr:row>
          <xdr:rowOff>523875</xdr:rowOff>
        </xdr:to>
        <xdr:sp macro="" textlink="">
          <xdr:nvSpPr>
            <xdr:cNvPr id="17665" name="Check Box 257" hidden="1">
              <a:extLst>
                <a:ext uri="{63B3BB69-23CF-44E3-9099-C40C66FF867C}">
                  <a14:compatExt spid="_x0000_s17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723900</xdr:colOff>
          <xdr:row>55</xdr:row>
          <xdr:rowOff>9525</xdr:rowOff>
        </xdr:from>
        <xdr:to>
          <xdr:col>2</xdr:col>
          <xdr:colOff>1352550</xdr:colOff>
          <xdr:row>55</xdr:row>
          <xdr:rowOff>523875</xdr:rowOff>
        </xdr:to>
        <xdr:sp macro="" textlink="">
          <xdr:nvSpPr>
            <xdr:cNvPr id="17666" name="Check Box 258" hidden="1">
              <a:extLst>
                <a:ext uri="{63B3BB69-23CF-44E3-9099-C40C66FF867C}">
                  <a14:compatExt spid="_x0000_s17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1466850</xdr:colOff>
          <xdr:row>55</xdr:row>
          <xdr:rowOff>9525</xdr:rowOff>
        </xdr:from>
        <xdr:to>
          <xdr:col>2</xdr:col>
          <xdr:colOff>2095500</xdr:colOff>
          <xdr:row>55</xdr:row>
          <xdr:rowOff>523875</xdr:rowOff>
        </xdr:to>
        <xdr:sp macro="" textlink="">
          <xdr:nvSpPr>
            <xdr:cNvPr id="17667" name="Check Box 259" hidden="1">
              <a:extLst>
                <a:ext uri="{63B3BB69-23CF-44E3-9099-C40C66FF867C}">
                  <a14:compatExt spid="_x0000_s17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723900</xdr:colOff>
          <xdr:row>56</xdr:row>
          <xdr:rowOff>9525</xdr:rowOff>
        </xdr:from>
        <xdr:to>
          <xdr:col>2</xdr:col>
          <xdr:colOff>1352550</xdr:colOff>
          <xdr:row>56</xdr:row>
          <xdr:rowOff>523875</xdr:rowOff>
        </xdr:to>
        <xdr:sp macro="" textlink="">
          <xdr:nvSpPr>
            <xdr:cNvPr id="17668" name="Check Box 260" hidden="1">
              <a:extLst>
                <a:ext uri="{63B3BB69-23CF-44E3-9099-C40C66FF867C}">
                  <a14:compatExt spid="_x0000_s17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1466850</xdr:colOff>
          <xdr:row>56</xdr:row>
          <xdr:rowOff>9525</xdr:rowOff>
        </xdr:from>
        <xdr:to>
          <xdr:col>2</xdr:col>
          <xdr:colOff>2095500</xdr:colOff>
          <xdr:row>56</xdr:row>
          <xdr:rowOff>523875</xdr:rowOff>
        </xdr:to>
        <xdr:sp macro="" textlink="">
          <xdr:nvSpPr>
            <xdr:cNvPr id="17669" name="Check Box 261" hidden="1">
              <a:extLst>
                <a:ext uri="{63B3BB69-23CF-44E3-9099-C40C66FF867C}">
                  <a14:compatExt spid="_x0000_s17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723900</xdr:colOff>
          <xdr:row>57</xdr:row>
          <xdr:rowOff>9525</xdr:rowOff>
        </xdr:from>
        <xdr:to>
          <xdr:col>2</xdr:col>
          <xdr:colOff>1352550</xdr:colOff>
          <xdr:row>57</xdr:row>
          <xdr:rowOff>523875</xdr:rowOff>
        </xdr:to>
        <xdr:sp macro="" textlink="">
          <xdr:nvSpPr>
            <xdr:cNvPr id="17670" name="Check Box 262" hidden="1">
              <a:extLst>
                <a:ext uri="{63B3BB69-23CF-44E3-9099-C40C66FF867C}">
                  <a14:compatExt spid="_x0000_s17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1466850</xdr:colOff>
          <xdr:row>57</xdr:row>
          <xdr:rowOff>9525</xdr:rowOff>
        </xdr:from>
        <xdr:to>
          <xdr:col>2</xdr:col>
          <xdr:colOff>2095500</xdr:colOff>
          <xdr:row>57</xdr:row>
          <xdr:rowOff>523875</xdr:rowOff>
        </xdr:to>
        <xdr:sp macro="" textlink="">
          <xdr:nvSpPr>
            <xdr:cNvPr id="17671" name="Check Box 263" hidden="1">
              <a:extLst>
                <a:ext uri="{63B3BB69-23CF-44E3-9099-C40C66FF867C}">
                  <a14:compatExt spid="_x0000_s17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723900</xdr:colOff>
          <xdr:row>58</xdr:row>
          <xdr:rowOff>9525</xdr:rowOff>
        </xdr:from>
        <xdr:to>
          <xdr:col>2</xdr:col>
          <xdr:colOff>1352550</xdr:colOff>
          <xdr:row>58</xdr:row>
          <xdr:rowOff>523875</xdr:rowOff>
        </xdr:to>
        <xdr:sp macro="" textlink="">
          <xdr:nvSpPr>
            <xdr:cNvPr id="17672" name="Check Box 264" hidden="1">
              <a:extLst>
                <a:ext uri="{63B3BB69-23CF-44E3-9099-C40C66FF867C}">
                  <a14:compatExt spid="_x0000_s17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1466850</xdr:colOff>
          <xdr:row>58</xdr:row>
          <xdr:rowOff>9525</xdr:rowOff>
        </xdr:from>
        <xdr:to>
          <xdr:col>2</xdr:col>
          <xdr:colOff>2095500</xdr:colOff>
          <xdr:row>58</xdr:row>
          <xdr:rowOff>523875</xdr:rowOff>
        </xdr:to>
        <xdr:sp macro="" textlink="">
          <xdr:nvSpPr>
            <xdr:cNvPr id="17673" name="Check Box 265" hidden="1">
              <a:extLst>
                <a:ext uri="{63B3BB69-23CF-44E3-9099-C40C66FF867C}">
                  <a14:compatExt spid="_x0000_s17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723900</xdr:colOff>
          <xdr:row>59</xdr:row>
          <xdr:rowOff>9525</xdr:rowOff>
        </xdr:from>
        <xdr:to>
          <xdr:col>2</xdr:col>
          <xdr:colOff>1352550</xdr:colOff>
          <xdr:row>59</xdr:row>
          <xdr:rowOff>523875</xdr:rowOff>
        </xdr:to>
        <xdr:sp macro="" textlink="">
          <xdr:nvSpPr>
            <xdr:cNvPr id="17674" name="Check Box 266" hidden="1">
              <a:extLst>
                <a:ext uri="{63B3BB69-23CF-44E3-9099-C40C66FF867C}">
                  <a14:compatExt spid="_x0000_s17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1466850</xdr:colOff>
          <xdr:row>59</xdr:row>
          <xdr:rowOff>9525</xdr:rowOff>
        </xdr:from>
        <xdr:to>
          <xdr:col>2</xdr:col>
          <xdr:colOff>2095500</xdr:colOff>
          <xdr:row>59</xdr:row>
          <xdr:rowOff>523875</xdr:rowOff>
        </xdr:to>
        <xdr:sp macro="" textlink="">
          <xdr:nvSpPr>
            <xdr:cNvPr id="17675" name="Check Box 267" hidden="1">
              <a:extLst>
                <a:ext uri="{63B3BB69-23CF-44E3-9099-C40C66FF867C}">
                  <a14:compatExt spid="_x0000_s17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723900</xdr:colOff>
          <xdr:row>60</xdr:row>
          <xdr:rowOff>9525</xdr:rowOff>
        </xdr:from>
        <xdr:to>
          <xdr:col>2</xdr:col>
          <xdr:colOff>1352550</xdr:colOff>
          <xdr:row>60</xdr:row>
          <xdr:rowOff>523875</xdr:rowOff>
        </xdr:to>
        <xdr:sp macro="" textlink="">
          <xdr:nvSpPr>
            <xdr:cNvPr id="17676" name="Check Box 268" hidden="1">
              <a:extLst>
                <a:ext uri="{63B3BB69-23CF-44E3-9099-C40C66FF867C}">
                  <a14:compatExt spid="_x0000_s17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1466850</xdr:colOff>
          <xdr:row>60</xdr:row>
          <xdr:rowOff>9525</xdr:rowOff>
        </xdr:from>
        <xdr:to>
          <xdr:col>2</xdr:col>
          <xdr:colOff>2095500</xdr:colOff>
          <xdr:row>60</xdr:row>
          <xdr:rowOff>523875</xdr:rowOff>
        </xdr:to>
        <xdr:sp macro="" textlink="">
          <xdr:nvSpPr>
            <xdr:cNvPr id="17677" name="Check Box 269" hidden="1">
              <a:extLst>
                <a:ext uri="{63B3BB69-23CF-44E3-9099-C40C66FF867C}">
                  <a14:compatExt spid="_x0000_s17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723900</xdr:colOff>
          <xdr:row>61</xdr:row>
          <xdr:rowOff>9525</xdr:rowOff>
        </xdr:from>
        <xdr:to>
          <xdr:col>2</xdr:col>
          <xdr:colOff>1352550</xdr:colOff>
          <xdr:row>61</xdr:row>
          <xdr:rowOff>600075</xdr:rowOff>
        </xdr:to>
        <xdr:sp macro="" textlink="">
          <xdr:nvSpPr>
            <xdr:cNvPr id="17678" name="Check Box 270" hidden="1">
              <a:extLst>
                <a:ext uri="{63B3BB69-23CF-44E3-9099-C40C66FF867C}">
                  <a14:compatExt spid="_x0000_s17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1466850</xdr:colOff>
          <xdr:row>61</xdr:row>
          <xdr:rowOff>9525</xdr:rowOff>
        </xdr:from>
        <xdr:to>
          <xdr:col>2</xdr:col>
          <xdr:colOff>2095500</xdr:colOff>
          <xdr:row>61</xdr:row>
          <xdr:rowOff>600075</xdr:rowOff>
        </xdr:to>
        <xdr:sp macro="" textlink="">
          <xdr:nvSpPr>
            <xdr:cNvPr id="17679" name="Check Box 271" hidden="1">
              <a:extLst>
                <a:ext uri="{63B3BB69-23CF-44E3-9099-C40C66FF867C}">
                  <a14:compatExt spid="_x0000_s17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723900</xdr:colOff>
          <xdr:row>44</xdr:row>
          <xdr:rowOff>9525</xdr:rowOff>
        </xdr:from>
        <xdr:to>
          <xdr:col>2</xdr:col>
          <xdr:colOff>1352550</xdr:colOff>
          <xdr:row>45</xdr:row>
          <xdr:rowOff>0</xdr:rowOff>
        </xdr:to>
        <xdr:sp macro="" textlink="">
          <xdr:nvSpPr>
            <xdr:cNvPr id="17680" name="Check Box 272" hidden="1">
              <a:extLst>
                <a:ext uri="{63B3BB69-23CF-44E3-9099-C40C66FF867C}">
                  <a14:compatExt spid="_x0000_s17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1466850</xdr:colOff>
          <xdr:row>44</xdr:row>
          <xdr:rowOff>9525</xdr:rowOff>
        </xdr:from>
        <xdr:to>
          <xdr:col>2</xdr:col>
          <xdr:colOff>2095500</xdr:colOff>
          <xdr:row>45</xdr:row>
          <xdr:rowOff>0</xdr:rowOff>
        </xdr:to>
        <xdr:sp macro="" textlink="">
          <xdr:nvSpPr>
            <xdr:cNvPr id="17681" name="Check Box 273" hidden="1">
              <a:extLst>
                <a:ext uri="{63B3BB69-23CF-44E3-9099-C40C66FF867C}">
                  <a14:compatExt spid="_x0000_s17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723900</xdr:colOff>
          <xdr:row>36</xdr:row>
          <xdr:rowOff>9525</xdr:rowOff>
        </xdr:from>
        <xdr:to>
          <xdr:col>2</xdr:col>
          <xdr:colOff>1352550</xdr:colOff>
          <xdr:row>37</xdr:row>
          <xdr:rowOff>0</xdr:rowOff>
        </xdr:to>
        <xdr:sp macro="" textlink="">
          <xdr:nvSpPr>
            <xdr:cNvPr id="17682" name="Check Box 274" hidden="1">
              <a:extLst>
                <a:ext uri="{63B3BB69-23CF-44E3-9099-C40C66FF867C}">
                  <a14:compatExt spid="_x0000_s17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1466850</xdr:colOff>
          <xdr:row>36</xdr:row>
          <xdr:rowOff>9525</xdr:rowOff>
        </xdr:from>
        <xdr:to>
          <xdr:col>2</xdr:col>
          <xdr:colOff>2095500</xdr:colOff>
          <xdr:row>37</xdr:row>
          <xdr:rowOff>0</xdr:rowOff>
        </xdr:to>
        <xdr:sp macro="" textlink="">
          <xdr:nvSpPr>
            <xdr:cNvPr id="17683" name="Check Box 275" hidden="1">
              <a:extLst>
                <a:ext uri="{63B3BB69-23CF-44E3-9099-C40C66FF867C}">
                  <a14:compatExt spid="_x0000_s17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723900</xdr:colOff>
          <xdr:row>37</xdr:row>
          <xdr:rowOff>9525</xdr:rowOff>
        </xdr:from>
        <xdr:to>
          <xdr:col>2</xdr:col>
          <xdr:colOff>1352550</xdr:colOff>
          <xdr:row>38</xdr:row>
          <xdr:rowOff>0</xdr:rowOff>
        </xdr:to>
        <xdr:sp macro="" textlink="">
          <xdr:nvSpPr>
            <xdr:cNvPr id="17684" name="Check Box 276" hidden="1">
              <a:extLst>
                <a:ext uri="{63B3BB69-23CF-44E3-9099-C40C66FF867C}">
                  <a14:compatExt spid="_x0000_s17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1466850</xdr:colOff>
          <xdr:row>37</xdr:row>
          <xdr:rowOff>9525</xdr:rowOff>
        </xdr:from>
        <xdr:to>
          <xdr:col>2</xdr:col>
          <xdr:colOff>2095500</xdr:colOff>
          <xdr:row>38</xdr:row>
          <xdr:rowOff>0</xdr:rowOff>
        </xdr:to>
        <xdr:sp macro="" textlink="">
          <xdr:nvSpPr>
            <xdr:cNvPr id="17685" name="Check Box 277" hidden="1">
              <a:extLst>
                <a:ext uri="{63B3BB69-23CF-44E3-9099-C40C66FF867C}">
                  <a14:compatExt spid="_x0000_s17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723900</xdr:colOff>
          <xdr:row>38</xdr:row>
          <xdr:rowOff>9525</xdr:rowOff>
        </xdr:from>
        <xdr:to>
          <xdr:col>2</xdr:col>
          <xdr:colOff>1352550</xdr:colOff>
          <xdr:row>39</xdr:row>
          <xdr:rowOff>0</xdr:rowOff>
        </xdr:to>
        <xdr:sp macro="" textlink="">
          <xdr:nvSpPr>
            <xdr:cNvPr id="17686" name="Check Box 278" hidden="1">
              <a:extLst>
                <a:ext uri="{63B3BB69-23CF-44E3-9099-C40C66FF867C}">
                  <a14:compatExt spid="_x0000_s17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1466850</xdr:colOff>
          <xdr:row>38</xdr:row>
          <xdr:rowOff>9525</xdr:rowOff>
        </xdr:from>
        <xdr:to>
          <xdr:col>2</xdr:col>
          <xdr:colOff>2095500</xdr:colOff>
          <xdr:row>39</xdr:row>
          <xdr:rowOff>0</xdr:rowOff>
        </xdr:to>
        <xdr:sp macro="" textlink="">
          <xdr:nvSpPr>
            <xdr:cNvPr id="17687" name="Check Box 279" hidden="1">
              <a:extLst>
                <a:ext uri="{63B3BB69-23CF-44E3-9099-C40C66FF867C}">
                  <a14:compatExt spid="_x0000_s17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723900</xdr:colOff>
          <xdr:row>39</xdr:row>
          <xdr:rowOff>9525</xdr:rowOff>
        </xdr:from>
        <xdr:to>
          <xdr:col>2</xdr:col>
          <xdr:colOff>1352550</xdr:colOff>
          <xdr:row>40</xdr:row>
          <xdr:rowOff>0</xdr:rowOff>
        </xdr:to>
        <xdr:sp macro="" textlink="">
          <xdr:nvSpPr>
            <xdr:cNvPr id="17688" name="Check Box 280" hidden="1">
              <a:extLst>
                <a:ext uri="{63B3BB69-23CF-44E3-9099-C40C66FF867C}">
                  <a14:compatExt spid="_x0000_s17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1466850</xdr:colOff>
          <xdr:row>39</xdr:row>
          <xdr:rowOff>9525</xdr:rowOff>
        </xdr:from>
        <xdr:to>
          <xdr:col>2</xdr:col>
          <xdr:colOff>2095500</xdr:colOff>
          <xdr:row>40</xdr:row>
          <xdr:rowOff>0</xdr:rowOff>
        </xdr:to>
        <xdr:sp macro="" textlink="">
          <xdr:nvSpPr>
            <xdr:cNvPr id="17689" name="Check Box 281" hidden="1">
              <a:extLst>
                <a:ext uri="{63B3BB69-23CF-44E3-9099-C40C66FF867C}">
                  <a14:compatExt spid="_x0000_s17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723900</xdr:colOff>
          <xdr:row>67</xdr:row>
          <xdr:rowOff>9525</xdr:rowOff>
        </xdr:from>
        <xdr:to>
          <xdr:col>2</xdr:col>
          <xdr:colOff>1352550</xdr:colOff>
          <xdr:row>68</xdr:row>
          <xdr:rowOff>0</xdr:rowOff>
        </xdr:to>
        <xdr:sp macro="" textlink="">
          <xdr:nvSpPr>
            <xdr:cNvPr id="17691" name="Check Box 283" hidden="1">
              <a:extLst>
                <a:ext uri="{63B3BB69-23CF-44E3-9099-C40C66FF867C}">
                  <a14:compatExt spid="_x0000_s17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1466850</xdr:colOff>
          <xdr:row>67</xdr:row>
          <xdr:rowOff>9525</xdr:rowOff>
        </xdr:from>
        <xdr:to>
          <xdr:col>2</xdr:col>
          <xdr:colOff>2095500</xdr:colOff>
          <xdr:row>68</xdr:row>
          <xdr:rowOff>0</xdr:rowOff>
        </xdr:to>
        <xdr:sp macro="" textlink="">
          <xdr:nvSpPr>
            <xdr:cNvPr id="17692" name="Check Box 284" hidden="1">
              <a:extLst>
                <a:ext uri="{63B3BB69-23CF-44E3-9099-C40C66FF867C}">
                  <a14:compatExt spid="_x0000_s17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75</xdr:row>
          <xdr:rowOff>0</xdr:rowOff>
        </xdr:from>
        <xdr:to>
          <xdr:col>2</xdr:col>
          <xdr:colOff>1104900</xdr:colOff>
          <xdr:row>76</xdr:row>
          <xdr:rowOff>0</xdr:rowOff>
        </xdr:to>
        <xdr:sp macro="" textlink="">
          <xdr:nvSpPr>
            <xdr:cNvPr id="17703" name="Check Box 295" hidden="1">
              <a:extLst>
                <a:ext uri="{63B3BB69-23CF-44E3-9099-C40C66FF867C}">
                  <a14:compatExt spid="_x0000_s17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1143000</xdr:colOff>
          <xdr:row>75</xdr:row>
          <xdr:rowOff>9525</xdr:rowOff>
        </xdr:from>
        <xdr:to>
          <xdr:col>2</xdr:col>
          <xdr:colOff>1581150</xdr:colOff>
          <xdr:row>76</xdr:row>
          <xdr:rowOff>0</xdr:rowOff>
        </xdr:to>
        <xdr:sp macro="" textlink="">
          <xdr:nvSpPr>
            <xdr:cNvPr id="17704" name="Check Box 296" hidden="1">
              <a:extLst>
                <a:ext uri="{63B3BB69-23CF-44E3-9099-C40C66FF867C}">
                  <a14:compatExt spid="_x0000_s17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1600200</xdr:colOff>
          <xdr:row>75</xdr:row>
          <xdr:rowOff>9525</xdr:rowOff>
        </xdr:from>
        <xdr:to>
          <xdr:col>2</xdr:col>
          <xdr:colOff>2057400</xdr:colOff>
          <xdr:row>76</xdr:row>
          <xdr:rowOff>0</xdr:rowOff>
        </xdr:to>
        <xdr:sp macro="" textlink="">
          <xdr:nvSpPr>
            <xdr:cNvPr id="17705" name="Check Box 297" hidden="1">
              <a:extLst>
                <a:ext uri="{63B3BB69-23CF-44E3-9099-C40C66FF867C}">
                  <a14:compatExt spid="_x0000_s17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75</xdr:row>
          <xdr:rowOff>0</xdr:rowOff>
        </xdr:from>
        <xdr:to>
          <xdr:col>3</xdr:col>
          <xdr:colOff>1104900</xdr:colOff>
          <xdr:row>76</xdr:row>
          <xdr:rowOff>0</xdr:rowOff>
        </xdr:to>
        <xdr:sp macro="" textlink="">
          <xdr:nvSpPr>
            <xdr:cNvPr id="17712" name="Check Box 304" hidden="1">
              <a:extLst>
                <a:ext uri="{63B3BB69-23CF-44E3-9099-C40C66FF867C}">
                  <a14:compatExt spid="_x0000_s17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1143000</xdr:colOff>
          <xdr:row>75</xdr:row>
          <xdr:rowOff>9525</xdr:rowOff>
        </xdr:from>
        <xdr:to>
          <xdr:col>3</xdr:col>
          <xdr:colOff>1581150</xdr:colOff>
          <xdr:row>76</xdr:row>
          <xdr:rowOff>0</xdr:rowOff>
        </xdr:to>
        <xdr:sp macro="" textlink="">
          <xdr:nvSpPr>
            <xdr:cNvPr id="17713" name="Check Box 305" hidden="1">
              <a:extLst>
                <a:ext uri="{63B3BB69-23CF-44E3-9099-C40C66FF867C}">
                  <a14:compatExt spid="_x0000_s17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1600200</xdr:colOff>
          <xdr:row>75</xdr:row>
          <xdr:rowOff>9525</xdr:rowOff>
        </xdr:from>
        <xdr:to>
          <xdr:col>3</xdr:col>
          <xdr:colOff>2057400</xdr:colOff>
          <xdr:row>76</xdr:row>
          <xdr:rowOff>0</xdr:rowOff>
        </xdr:to>
        <xdr:sp macro="" textlink="">
          <xdr:nvSpPr>
            <xdr:cNvPr id="17714" name="Check Box 306" hidden="1">
              <a:extLst>
                <a:ext uri="{63B3BB69-23CF-44E3-9099-C40C66FF867C}">
                  <a14:compatExt spid="_x0000_s17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75</xdr:row>
          <xdr:rowOff>0</xdr:rowOff>
        </xdr:from>
        <xdr:to>
          <xdr:col>4</xdr:col>
          <xdr:colOff>1104900</xdr:colOff>
          <xdr:row>76</xdr:row>
          <xdr:rowOff>0</xdr:rowOff>
        </xdr:to>
        <xdr:sp macro="" textlink="">
          <xdr:nvSpPr>
            <xdr:cNvPr id="17715" name="Check Box 307" hidden="1">
              <a:extLst>
                <a:ext uri="{63B3BB69-23CF-44E3-9099-C40C66FF867C}">
                  <a14:compatExt spid="_x0000_s17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1143000</xdr:colOff>
          <xdr:row>75</xdr:row>
          <xdr:rowOff>9525</xdr:rowOff>
        </xdr:from>
        <xdr:to>
          <xdr:col>4</xdr:col>
          <xdr:colOff>1581150</xdr:colOff>
          <xdr:row>76</xdr:row>
          <xdr:rowOff>0</xdr:rowOff>
        </xdr:to>
        <xdr:sp macro="" textlink="">
          <xdr:nvSpPr>
            <xdr:cNvPr id="17716" name="Check Box 308" hidden="1">
              <a:extLst>
                <a:ext uri="{63B3BB69-23CF-44E3-9099-C40C66FF867C}">
                  <a14:compatExt spid="_x0000_s17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1600200</xdr:colOff>
          <xdr:row>75</xdr:row>
          <xdr:rowOff>9525</xdr:rowOff>
        </xdr:from>
        <xdr:to>
          <xdr:col>4</xdr:col>
          <xdr:colOff>2057400</xdr:colOff>
          <xdr:row>76</xdr:row>
          <xdr:rowOff>0</xdr:rowOff>
        </xdr:to>
        <xdr:sp macro="" textlink="">
          <xdr:nvSpPr>
            <xdr:cNvPr id="17717" name="Check Box 309" hidden="1">
              <a:extLst>
                <a:ext uri="{63B3BB69-23CF-44E3-9099-C40C66FF867C}">
                  <a14:compatExt spid="_x0000_s17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723900</xdr:colOff>
          <xdr:row>86</xdr:row>
          <xdr:rowOff>9525</xdr:rowOff>
        </xdr:from>
        <xdr:to>
          <xdr:col>2</xdr:col>
          <xdr:colOff>1352550</xdr:colOff>
          <xdr:row>87</xdr:row>
          <xdr:rowOff>0</xdr:rowOff>
        </xdr:to>
        <xdr:sp macro="" textlink="">
          <xdr:nvSpPr>
            <xdr:cNvPr id="17719" name="Check Box 311" hidden="1">
              <a:extLst>
                <a:ext uri="{63B3BB69-23CF-44E3-9099-C40C66FF867C}">
                  <a14:compatExt spid="_x0000_s17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1466850</xdr:colOff>
          <xdr:row>86</xdr:row>
          <xdr:rowOff>9525</xdr:rowOff>
        </xdr:from>
        <xdr:to>
          <xdr:col>2</xdr:col>
          <xdr:colOff>2095500</xdr:colOff>
          <xdr:row>87</xdr:row>
          <xdr:rowOff>0</xdr:rowOff>
        </xdr:to>
        <xdr:sp macro="" textlink="">
          <xdr:nvSpPr>
            <xdr:cNvPr id="17720" name="Check Box 312" hidden="1">
              <a:extLst>
                <a:ext uri="{63B3BB69-23CF-44E3-9099-C40C66FF867C}">
                  <a14:compatExt spid="_x0000_s17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723900</xdr:colOff>
          <xdr:row>87</xdr:row>
          <xdr:rowOff>9525</xdr:rowOff>
        </xdr:from>
        <xdr:to>
          <xdr:col>2</xdr:col>
          <xdr:colOff>1352550</xdr:colOff>
          <xdr:row>88</xdr:row>
          <xdr:rowOff>0</xdr:rowOff>
        </xdr:to>
        <xdr:sp macro="" textlink="">
          <xdr:nvSpPr>
            <xdr:cNvPr id="17721" name="Check Box 313" hidden="1">
              <a:extLst>
                <a:ext uri="{63B3BB69-23CF-44E3-9099-C40C66FF867C}">
                  <a14:compatExt spid="_x0000_s17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1466850</xdr:colOff>
          <xdr:row>87</xdr:row>
          <xdr:rowOff>9525</xdr:rowOff>
        </xdr:from>
        <xdr:to>
          <xdr:col>2</xdr:col>
          <xdr:colOff>2095500</xdr:colOff>
          <xdr:row>88</xdr:row>
          <xdr:rowOff>0</xdr:rowOff>
        </xdr:to>
        <xdr:sp macro="" textlink="">
          <xdr:nvSpPr>
            <xdr:cNvPr id="17722" name="Check Box 314" hidden="1">
              <a:extLst>
                <a:ext uri="{63B3BB69-23CF-44E3-9099-C40C66FF867C}">
                  <a14:compatExt spid="_x0000_s17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723900</xdr:colOff>
          <xdr:row>88</xdr:row>
          <xdr:rowOff>9525</xdr:rowOff>
        </xdr:from>
        <xdr:to>
          <xdr:col>2</xdr:col>
          <xdr:colOff>1352550</xdr:colOff>
          <xdr:row>89</xdr:row>
          <xdr:rowOff>0</xdr:rowOff>
        </xdr:to>
        <xdr:sp macro="" textlink="">
          <xdr:nvSpPr>
            <xdr:cNvPr id="17723" name="Check Box 315" hidden="1">
              <a:extLst>
                <a:ext uri="{63B3BB69-23CF-44E3-9099-C40C66FF867C}">
                  <a14:compatExt spid="_x0000_s17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1466850</xdr:colOff>
          <xdr:row>88</xdr:row>
          <xdr:rowOff>9525</xdr:rowOff>
        </xdr:from>
        <xdr:to>
          <xdr:col>2</xdr:col>
          <xdr:colOff>2095500</xdr:colOff>
          <xdr:row>89</xdr:row>
          <xdr:rowOff>0</xdr:rowOff>
        </xdr:to>
        <xdr:sp macro="" textlink="">
          <xdr:nvSpPr>
            <xdr:cNvPr id="17724" name="Check Box 316" hidden="1">
              <a:extLst>
                <a:ext uri="{63B3BB69-23CF-44E3-9099-C40C66FF867C}">
                  <a14:compatExt spid="_x0000_s17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723900</xdr:colOff>
          <xdr:row>89</xdr:row>
          <xdr:rowOff>9525</xdr:rowOff>
        </xdr:from>
        <xdr:to>
          <xdr:col>2</xdr:col>
          <xdr:colOff>1352550</xdr:colOff>
          <xdr:row>90</xdr:row>
          <xdr:rowOff>0</xdr:rowOff>
        </xdr:to>
        <xdr:sp macro="" textlink="">
          <xdr:nvSpPr>
            <xdr:cNvPr id="17725" name="Check Box 317" hidden="1">
              <a:extLst>
                <a:ext uri="{63B3BB69-23CF-44E3-9099-C40C66FF867C}">
                  <a14:compatExt spid="_x0000_s17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1466850</xdr:colOff>
          <xdr:row>89</xdr:row>
          <xdr:rowOff>9525</xdr:rowOff>
        </xdr:from>
        <xdr:to>
          <xdr:col>2</xdr:col>
          <xdr:colOff>2095500</xdr:colOff>
          <xdr:row>90</xdr:row>
          <xdr:rowOff>0</xdr:rowOff>
        </xdr:to>
        <xdr:sp macro="" textlink="">
          <xdr:nvSpPr>
            <xdr:cNvPr id="17726" name="Check Box 318" hidden="1">
              <a:extLst>
                <a:ext uri="{63B3BB69-23CF-44E3-9099-C40C66FF867C}">
                  <a14:compatExt spid="_x0000_s17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92</xdr:row>
          <xdr:rowOff>0</xdr:rowOff>
        </xdr:from>
        <xdr:to>
          <xdr:col>2</xdr:col>
          <xdr:colOff>1104900</xdr:colOff>
          <xdr:row>93</xdr:row>
          <xdr:rowOff>0</xdr:rowOff>
        </xdr:to>
        <xdr:sp macro="" textlink="">
          <xdr:nvSpPr>
            <xdr:cNvPr id="17727" name="Check Box 319" hidden="1">
              <a:extLst>
                <a:ext uri="{63B3BB69-23CF-44E3-9099-C40C66FF867C}">
                  <a14:compatExt spid="_x0000_s17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1143000</xdr:colOff>
          <xdr:row>92</xdr:row>
          <xdr:rowOff>9525</xdr:rowOff>
        </xdr:from>
        <xdr:to>
          <xdr:col>2</xdr:col>
          <xdr:colOff>1581150</xdr:colOff>
          <xdr:row>92</xdr:row>
          <xdr:rowOff>495300</xdr:rowOff>
        </xdr:to>
        <xdr:sp macro="" textlink="">
          <xdr:nvSpPr>
            <xdr:cNvPr id="17728" name="Check Box 320" hidden="1">
              <a:extLst>
                <a:ext uri="{63B3BB69-23CF-44E3-9099-C40C66FF867C}">
                  <a14:compatExt spid="_x0000_s17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1600200</xdr:colOff>
          <xdr:row>92</xdr:row>
          <xdr:rowOff>9525</xdr:rowOff>
        </xdr:from>
        <xdr:to>
          <xdr:col>2</xdr:col>
          <xdr:colOff>2057400</xdr:colOff>
          <xdr:row>93</xdr:row>
          <xdr:rowOff>0</xdr:rowOff>
        </xdr:to>
        <xdr:sp macro="" textlink="">
          <xdr:nvSpPr>
            <xdr:cNvPr id="17729" name="Check Box 321" hidden="1">
              <a:extLst>
                <a:ext uri="{63B3BB69-23CF-44E3-9099-C40C66FF867C}">
                  <a14:compatExt spid="_x0000_s17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93</xdr:row>
          <xdr:rowOff>0</xdr:rowOff>
        </xdr:from>
        <xdr:to>
          <xdr:col>2</xdr:col>
          <xdr:colOff>1104900</xdr:colOff>
          <xdr:row>94</xdr:row>
          <xdr:rowOff>0</xdr:rowOff>
        </xdr:to>
        <xdr:sp macro="" textlink="">
          <xdr:nvSpPr>
            <xdr:cNvPr id="17772" name="Check Box 364" hidden="1">
              <a:extLst>
                <a:ext uri="{63B3BB69-23CF-44E3-9099-C40C66FF867C}">
                  <a14:compatExt spid="_x0000_s17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1143000</xdr:colOff>
          <xdr:row>93</xdr:row>
          <xdr:rowOff>9525</xdr:rowOff>
        </xdr:from>
        <xdr:to>
          <xdr:col>2</xdr:col>
          <xdr:colOff>1581150</xdr:colOff>
          <xdr:row>93</xdr:row>
          <xdr:rowOff>495300</xdr:rowOff>
        </xdr:to>
        <xdr:sp macro="" textlink="">
          <xdr:nvSpPr>
            <xdr:cNvPr id="17773" name="Check Box 365" hidden="1">
              <a:extLst>
                <a:ext uri="{63B3BB69-23CF-44E3-9099-C40C66FF867C}">
                  <a14:compatExt spid="_x0000_s17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1600200</xdr:colOff>
          <xdr:row>93</xdr:row>
          <xdr:rowOff>9525</xdr:rowOff>
        </xdr:from>
        <xdr:to>
          <xdr:col>2</xdr:col>
          <xdr:colOff>2057400</xdr:colOff>
          <xdr:row>94</xdr:row>
          <xdr:rowOff>0</xdr:rowOff>
        </xdr:to>
        <xdr:sp macro="" textlink="">
          <xdr:nvSpPr>
            <xdr:cNvPr id="17774" name="Check Box 366" hidden="1">
              <a:extLst>
                <a:ext uri="{63B3BB69-23CF-44E3-9099-C40C66FF867C}">
                  <a14:compatExt spid="_x0000_s17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94</xdr:row>
          <xdr:rowOff>0</xdr:rowOff>
        </xdr:from>
        <xdr:to>
          <xdr:col>2</xdr:col>
          <xdr:colOff>1104900</xdr:colOff>
          <xdr:row>95</xdr:row>
          <xdr:rowOff>0</xdr:rowOff>
        </xdr:to>
        <xdr:sp macro="" textlink="">
          <xdr:nvSpPr>
            <xdr:cNvPr id="17775" name="Check Box 367" hidden="1">
              <a:extLst>
                <a:ext uri="{63B3BB69-23CF-44E3-9099-C40C66FF867C}">
                  <a14:compatExt spid="_x0000_s17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1143000</xdr:colOff>
          <xdr:row>94</xdr:row>
          <xdr:rowOff>9525</xdr:rowOff>
        </xdr:from>
        <xdr:to>
          <xdr:col>2</xdr:col>
          <xdr:colOff>1581150</xdr:colOff>
          <xdr:row>94</xdr:row>
          <xdr:rowOff>495300</xdr:rowOff>
        </xdr:to>
        <xdr:sp macro="" textlink="">
          <xdr:nvSpPr>
            <xdr:cNvPr id="17776" name="Check Box 368" hidden="1">
              <a:extLst>
                <a:ext uri="{63B3BB69-23CF-44E3-9099-C40C66FF867C}">
                  <a14:compatExt spid="_x0000_s17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1600200</xdr:colOff>
          <xdr:row>94</xdr:row>
          <xdr:rowOff>9525</xdr:rowOff>
        </xdr:from>
        <xdr:to>
          <xdr:col>2</xdr:col>
          <xdr:colOff>2057400</xdr:colOff>
          <xdr:row>95</xdr:row>
          <xdr:rowOff>0</xdr:rowOff>
        </xdr:to>
        <xdr:sp macro="" textlink="">
          <xdr:nvSpPr>
            <xdr:cNvPr id="17777" name="Check Box 369" hidden="1">
              <a:extLst>
                <a:ext uri="{63B3BB69-23CF-44E3-9099-C40C66FF867C}">
                  <a14:compatExt spid="_x0000_s17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95</xdr:row>
          <xdr:rowOff>0</xdr:rowOff>
        </xdr:from>
        <xdr:to>
          <xdr:col>2</xdr:col>
          <xdr:colOff>1104900</xdr:colOff>
          <xdr:row>96</xdr:row>
          <xdr:rowOff>0</xdr:rowOff>
        </xdr:to>
        <xdr:sp macro="" textlink="">
          <xdr:nvSpPr>
            <xdr:cNvPr id="17778" name="Check Box 370" hidden="1">
              <a:extLst>
                <a:ext uri="{63B3BB69-23CF-44E3-9099-C40C66FF867C}">
                  <a14:compatExt spid="_x0000_s17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1143000</xdr:colOff>
          <xdr:row>95</xdr:row>
          <xdr:rowOff>9525</xdr:rowOff>
        </xdr:from>
        <xdr:to>
          <xdr:col>2</xdr:col>
          <xdr:colOff>1581150</xdr:colOff>
          <xdr:row>95</xdr:row>
          <xdr:rowOff>495300</xdr:rowOff>
        </xdr:to>
        <xdr:sp macro="" textlink="">
          <xdr:nvSpPr>
            <xdr:cNvPr id="17779" name="Check Box 371" hidden="1">
              <a:extLst>
                <a:ext uri="{63B3BB69-23CF-44E3-9099-C40C66FF867C}">
                  <a14:compatExt spid="_x0000_s17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1600200</xdr:colOff>
          <xdr:row>95</xdr:row>
          <xdr:rowOff>9525</xdr:rowOff>
        </xdr:from>
        <xdr:to>
          <xdr:col>2</xdr:col>
          <xdr:colOff>2057400</xdr:colOff>
          <xdr:row>96</xdr:row>
          <xdr:rowOff>0</xdr:rowOff>
        </xdr:to>
        <xdr:sp macro="" textlink="">
          <xdr:nvSpPr>
            <xdr:cNvPr id="17780" name="Check Box 372" hidden="1">
              <a:extLst>
                <a:ext uri="{63B3BB69-23CF-44E3-9099-C40C66FF867C}">
                  <a14:compatExt spid="_x0000_s17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97</xdr:row>
          <xdr:rowOff>0</xdr:rowOff>
        </xdr:from>
        <xdr:to>
          <xdr:col>2</xdr:col>
          <xdr:colOff>1104900</xdr:colOff>
          <xdr:row>98</xdr:row>
          <xdr:rowOff>0</xdr:rowOff>
        </xdr:to>
        <xdr:sp macro="" textlink="">
          <xdr:nvSpPr>
            <xdr:cNvPr id="17781" name="Check Box 373" hidden="1">
              <a:extLst>
                <a:ext uri="{63B3BB69-23CF-44E3-9099-C40C66FF867C}">
                  <a14:compatExt spid="_x0000_s17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1143000</xdr:colOff>
          <xdr:row>97</xdr:row>
          <xdr:rowOff>9525</xdr:rowOff>
        </xdr:from>
        <xdr:to>
          <xdr:col>2</xdr:col>
          <xdr:colOff>1581150</xdr:colOff>
          <xdr:row>97</xdr:row>
          <xdr:rowOff>495300</xdr:rowOff>
        </xdr:to>
        <xdr:sp macro="" textlink="">
          <xdr:nvSpPr>
            <xdr:cNvPr id="17782" name="Check Box 374" hidden="1">
              <a:extLst>
                <a:ext uri="{63B3BB69-23CF-44E3-9099-C40C66FF867C}">
                  <a14:compatExt spid="_x0000_s17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1600200</xdr:colOff>
          <xdr:row>97</xdr:row>
          <xdr:rowOff>9525</xdr:rowOff>
        </xdr:from>
        <xdr:to>
          <xdr:col>2</xdr:col>
          <xdr:colOff>2057400</xdr:colOff>
          <xdr:row>98</xdr:row>
          <xdr:rowOff>0</xdr:rowOff>
        </xdr:to>
        <xdr:sp macro="" textlink="">
          <xdr:nvSpPr>
            <xdr:cNvPr id="17783" name="Check Box 375" hidden="1">
              <a:extLst>
                <a:ext uri="{63B3BB69-23CF-44E3-9099-C40C66FF867C}">
                  <a14:compatExt spid="_x0000_s17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98</xdr:row>
          <xdr:rowOff>0</xdr:rowOff>
        </xdr:from>
        <xdr:to>
          <xdr:col>2</xdr:col>
          <xdr:colOff>1104900</xdr:colOff>
          <xdr:row>99</xdr:row>
          <xdr:rowOff>0</xdr:rowOff>
        </xdr:to>
        <xdr:sp macro="" textlink="">
          <xdr:nvSpPr>
            <xdr:cNvPr id="17784" name="Check Box 376" hidden="1">
              <a:extLst>
                <a:ext uri="{63B3BB69-23CF-44E3-9099-C40C66FF867C}">
                  <a14:compatExt spid="_x0000_s17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1143000</xdr:colOff>
          <xdr:row>98</xdr:row>
          <xdr:rowOff>9525</xdr:rowOff>
        </xdr:from>
        <xdr:to>
          <xdr:col>2</xdr:col>
          <xdr:colOff>1581150</xdr:colOff>
          <xdr:row>98</xdr:row>
          <xdr:rowOff>495300</xdr:rowOff>
        </xdr:to>
        <xdr:sp macro="" textlink="">
          <xdr:nvSpPr>
            <xdr:cNvPr id="17785" name="Check Box 377" hidden="1">
              <a:extLst>
                <a:ext uri="{63B3BB69-23CF-44E3-9099-C40C66FF867C}">
                  <a14:compatExt spid="_x0000_s17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1600200</xdr:colOff>
          <xdr:row>98</xdr:row>
          <xdr:rowOff>9525</xdr:rowOff>
        </xdr:from>
        <xdr:to>
          <xdr:col>2</xdr:col>
          <xdr:colOff>2057400</xdr:colOff>
          <xdr:row>99</xdr:row>
          <xdr:rowOff>0</xdr:rowOff>
        </xdr:to>
        <xdr:sp macro="" textlink="">
          <xdr:nvSpPr>
            <xdr:cNvPr id="17786" name="Check Box 378" hidden="1">
              <a:extLst>
                <a:ext uri="{63B3BB69-23CF-44E3-9099-C40C66FF867C}">
                  <a14:compatExt spid="_x0000_s17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99</xdr:row>
          <xdr:rowOff>0</xdr:rowOff>
        </xdr:from>
        <xdr:to>
          <xdr:col>2</xdr:col>
          <xdr:colOff>1104900</xdr:colOff>
          <xdr:row>100</xdr:row>
          <xdr:rowOff>0</xdr:rowOff>
        </xdr:to>
        <xdr:sp macro="" textlink="">
          <xdr:nvSpPr>
            <xdr:cNvPr id="17787" name="Check Box 379" hidden="1">
              <a:extLst>
                <a:ext uri="{63B3BB69-23CF-44E3-9099-C40C66FF867C}">
                  <a14:compatExt spid="_x0000_s17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1143000</xdr:colOff>
          <xdr:row>99</xdr:row>
          <xdr:rowOff>9525</xdr:rowOff>
        </xdr:from>
        <xdr:to>
          <xdr:col>2</xdr:col>
          <xdr:colOff>1581150</xdr:colOff>
          <xdr:row>99</xdr:row>
          <xdr:rowOff>495300</xdr:rowOff>
        </xdr:to>
        <xdr:sp macro="" textlink="">
          <xdr:nvSpPr>
            <xdr:cNvPr id="17788" name="Check Box 380" hidden="1">
              <a:extLst>
                <a:ext uri="{63B3BB69-23CF-44E3-9099-C40C66FF867C}">
                  <a14:compatExt spid="_x0000_s17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1600200</xdr:colOff>
          <xdr:row>99</xdr:row>
          <xdr:rowOff>9525</xdr:rowOff>
        </xdr:from>
        <xdr:to>
          <xdr:col>2</xdr:col>
          <xdr:colOff>2057400</xdr:colOff>
          <xdr:row>100</xdr:row>
          <xdr:rowOff>0</xdr:rowOff>
        </xdr:to>
        <xdr:sp macro="" textlink="">
          <xdr:nvSpPr>
            <xdr:cNvPr id="17789" name="Check Box 381" hidden="1">
              <a:extLst>
                <a:ext uri="{63B3BB69-23CF-44E3-9099-C40C66FF867C}">
                  <a14:compatExt spid="_x0000_s17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100</xdr:row>
          <xdr:rowOff>0</xdr:rowOff>
        </xdr:from>
        <xdr:to>
          <xdr:col>2</xdr:col>
          <xdr:colOff>1104900</xdr:colOff>
          <xdr:row>101</xdr:row>
          <xdr:rowOff>0</xdr:rowOff>
        </xdr:to>
        <xdr:sp macro="" textlink="">
          <xdr:nvSpPr>
            <xdr:cNvPr id="17790" name="Check Box 382" hidden="1">
              <a:extLst>
                <a:ext uri="{63B3BB69-23CF-44E3-9099-C40C66FF867C}">
                  <a14:compatExt spid="_x0000_s17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1143000</xdr:colOff>
          <xdr:row>100</xdr:row>
          <xdr:rowOff>9525</xdr:rowOff>
        </xdr:from>
        <xdr:to>
          <xdr:col>2</xdr:col>
          <xdr:colOff>1581150</xdr:colOff>
          <xdr:row>100</xdr:row>
          <xdr:rowOff>495300</xdr:rowOff>
        </xdr:to>
        <xdr:sp macro="" textlink="">
          <xdr:nvSpPr>
            <xdr:cNvPr id="17791" name="Check Box 383" hidden="1">
              <a:extLst>
                <a:ext uri="{63B3BB69-23CF-44E3-9099-C40C66FF867C}">
                  <a14:compatExt spid="_x0000_s17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1600200</xdr:colOff>
          <xdr:row>100</xdr:row>
          <xdr:rowOff>9525</xdr:rowOff>
        </xdr:from>
        <xdr:to>
          <xdr:col>2</xdr:col>
          <xdr:colOff>2057400</xdr:colOff>
          <xdr:row>101</xdr:row>
          <xdr:rowOff>0</xdr:rowOff>
        </xdr:to>
        <xdr:sp macro="" textlink="">
          <xdr:nvSpPr>
            <xdr:cNvPr id="17792" name="Check Box 384" hidden="1">
              <a:extLst>
                <a:ext uri="{63B3BB69-23CF-44E3-9099-C40C66FF867C}">
                  <a14:compatExt spid="_x0000_s17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723900</xdr:colOff>
          <xdr:row>109</xdr:row>
          <xdr:rowOff>9525</xdr:rowOff>
        </xdr:from>
        <xdr:to>
          <xdr:col>2</xdr:col>
          <xdr:colOff>1352550</xdr:colOff>
          <xdr:row>110</xdr:row>
          <xdr:rowOff>0</xdr:rowOff>
        </xdr:to>
        <xdr:sp macro="" textlink="">
          <xdr:nvSpPr>
            <xdr:cNvPr id="17801" name="Check Box 393" hidden="1">
              <a:extLst>
                <a:ext uri="{63B3BB69-23CF-44E3-9099-C40C66FF867C}">
                  <a14:compatExt spid="_x0000_s17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1466850</xdr:colOff>
          <xdr:row>109</xdr:row>
          <xdr:rowOff>9525</xdr:rowOff>
        </xdr:from>
        <xdr:to>
          <xdr:col>2</xdr:col>
          <xdr:colOff>2095500</xdr:colOff>
          <xdr:row>110</xdr:row>
          <xdr:rowOff>0</xdr:rowOff>
        </xdr:to>
        <xdr:sp macro="" textlink="">
          <xdr:nvSpPr>
            <xdr:cNvPr id="17802" name="Check Box 394" hidden="1">
              <a:extLst>
                <a:ext uri="{63B3BB69-23CF-44E3-9099-C40C66FF867C}">
                  <a14:compatExt spid="_x0000_s17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8</xdr:row>
          <xdr:rowOff>9525</xdr:rowOff>
        </xdr:from>
        <xdr:to>
          <xdr:col>2</xdr:col>
          <xdr:colOff>942975</xdr:colOff>
          <xdr:row>8</xdr:row>
          <xdr:rowOff>600075</xdr:rowOff>
        </xdr:to>
        <xdr:sp macro="" textlink="">
          <xdr:nvSpPr>
            <xdr:cNvPr id="17806" name="Check Box 398" hidden="1">
              <a:extLst>
                <a:ext uri="{63B3BB69-23CF-44E3-9099-C40C66FF867C}">
                  <a14:compatExt spid="_x0000_s17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962025</xdr:colOff>
          <xdr:row>8</xdr:row>
          <xdr:rowOff>9525</xdr:rowOff>
        </xdr:from>
        <xdr:to>
          <xdr:col>2</xdr:col>
          <xdr:colOff>1762125</xdr:colOff>
          <xdr:row>8</xdr:row>
          <xdr:rowOff>600075</xdr:rowOff>
        </xdr:to>
        <xdr:sp macro="" textlink="">
          <xdr:nvSpPr>
            <xdr:cNvPr id="17807" name="Check Box 399" hidden="1">
              <a:extLst>
                <a:ext uri="{63B3BB69-23CF-44E3-9099-C40C66FF867C}">
                  <a14:compatExt spid="_x0000_s17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1781175</xdr:colOff>
          <xdr:row>8</xdr:row>
          <xdr:rowOff>9525</xdr:rowOff>
        </xdr:from>
        <xdr:to>
          <xdr:col>2</xdr:col>
          <xdr:colOff>2581275</xdr:colOff>
          <xdr:row>8</xdr:row>
          <xdr:rowOff>600075</xdr:rowOff>
        </xdr:to>
        <xdr:sp macro="" textlink="">
          <xdr:nvSpPr>
            <xdr:cNvPr id="17808" name="Check Box 400" hidden="1">
              <a:extLst>
                <a:ext uri="{63B3BB69-23CF-44E3-9099-C40C66FF867C}">
                  <a14:compatExt spid="_x0000_s17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Incomplete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10</xdr:row>
          <xdr:rowOff>9525</xdr:rowOff>
        </xdr:from>
        <xdr:to>
          <xdr:col>2</xdr:col>
          <xdr:colOff>1562100</xdr:colOff>
          <xdr:row>10</xdr:row>
          <xdr:rowOff>495300</xdr:rowOff>
        </xdr:to>
        <xdr:sp macro="" textlink="">
          <xdr:nvSpPr>
            <xdr:cNvPr id="17812" name="Check Box 404" descr="Annually" hidden="1">
              <a:extLst>
                <a:ext uri="{63B3BB69-23CF-44E3-9099-C40C66FF867C}">
                  <a14:compatExt spid="_x0000_s17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Annually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1581150</xdr:colOff>
          <xdr:row>10</xdr:row>
          <xdr:rowOff>9525</xdr:rowOff>
        </xdr:from>
        <xdr:to>
          <xdr:col>2</xdr:col>
          <xdr:colOff>2476500</xdr:colOff>
          <xdr:row>10</xdr:row>
          <xdr:rowOff>495300</xdr:rowOff>
        </xdr:to>
        <xdr:sp macro="" textlink="">
          <xdr:nvSpPr>
            <xdr:cNvPr id="17813" name="Check Box 405" hidden="1">
              <a:extLst>
                <a:ext uri="{63B3BB69-23CF-44E3-9099-C40C66FF867C}">
                  <a14:compatExt spid="_x0000_s17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723900</xdr:colOff>
          <xdr:row>68</xdr:row>
          <xdr:rowOff>9525</xdr:rowOff>
        </xdr:from>
        <xdr:to>
          <xdr:col>2</xdr:col>
          <xdr:colOff>1352550</xdr:colOff>
          <xdr:row>69</xdr:row>
          <xdr:rowOff>0</xdr:rowOff>
        </xdr:to>
        <xdr:sp macro="" textlink="">
          <xdr:nvSpPr>
            <xdr:cNvPr id="17818" name="Check Box 410" hidden="1">
              <a:extLst>
                <a:ext uri="{63B3BB69-23CF-44E3-9099-C40C66FF867C}">
                  <a14:compatExt spid="_x0000_s17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1466850</xdr:colOff>
          <xdr:row>68</xdr:row>
          <xdr:rowOff>9525</xdr:rowOff>
        </xdr:from>
        <xdr:to>
          <xdr:col>2</xdr:col>
          <xdr:colOff>2095500</xdr:colOff>
          <xdr:row>69</xdr:row>
          <xdr:rowOff>0</xdr:rowOff>
        </xdr:to>
        <xdr:sp macro="" textlink="">
          <xdr:nvSpPr>
            <xdr:cNvPr id="17819" name="Check Box 411" hidden="1">
              <a:extLst>
                <a:ext uri="{63B3BB69-23CF-44E3-9099-C40C66FF867C}">
                  <a14:compatExt spid="_x0000_s17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990600</xdr:colOff>
          <xdr:row>66</xdr:row>
          <xdr:rowOff>9525</xdr:rowOff>
        </xdr:from>
        <xdr:to>
          <xdr:col>1</xdr:col>
          <xdr:colOff>1809750</xdr:colOff>
          <xdr:row>67</xdr:row>
          <xdr:rowOff>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790575</xdr:colOff>
          <xdr:row>44</xdr:row>
          <xdr:rowOff>9525</xdr:rowOff>
        </xdr:from>
        <xdr:to>
          <xdr:col>2</xdr:col>
          <xdr:colOff>1457325</xdr:colOff>
          <xdr:row>44</xdr:row>
          <xdr:rowOff>390525</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1466850</xdr:colOff>
          <xdr:row>44</xdr:row>
          <xdr:rowOff>9525</xdr:rowOff>
        </xdr:from>
        <xdr:to>
          <xdr:col>2</xdr:col>
          <xdr:colOff>2133600</xdr:colOff>
          <xdr:row>44</xdr:row>
          <xdr:rowOff>390525</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2247900</xdr:colOff>
          <xdr:row>66</xdr:row>
          <xdr:rowOff>19050</xdr:rowOff>
        </xdr:from>
        <xdr:to>
          <xdr:col>1</xdr:col>
          <xdr:colOff>3076575</xdr:colOff>
          <xdr:row>67</xdr:row>
          <xdr:rowOff>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xdr:twoCellAnchor>
    <xdr:from>
      <xdr:col>1</xdr:col>
      <xdr:colOff>0</xdr:colOff>
      <xdr:row>0</xdr:row>
      <xdr:rowOff>85725</xdr:rowOff>
    </xdr:from>
    <xdr:to>
      <xdr:col>4</xdr:col>
      <xdr:colOff>21167</xdr:colOff>
      <xdr:row>5</xdr:row>
      <xdr:rowOff>143700</xdr:rowOff>
    </xdr:to>
    <xdr:sp macro="" textlink="">
      <xdr:nvSpPr>
        <xdr:cNvPr id="52" name="Rectangle 51"/>
        <xdr:cNvSpPr/>
      </xdr:nvSpPr>
      <xdr:spPr>
        <a:xfrm>
          <a:off x="609600" y="85725"/>
          <a:ext cx="9498542" cy="867600"/>
        </a:xfrm>
        <a:prstGeom prst="rect">
          <a:avLst/>
        </a:prstGeom>
        <a:solidFill>
          <a:sysClr val="window" lastClr="FFFFFF"/>
        </a:solidFill>
        <a:ln w="25400">
          <a:solidFill>
            <a:schemeClr val="tx1">
              <a:alpha val="50000"/>
            </a:schemeClr>
          </a:solidFill>
        </a:ln>
        <a:scene3d>
          <a:camera prst="orthographicFront"/>
          <a:lightRig rig="threePt" dir="t"/>
        </a:scene3d>
        <a:sp3d prstMaterial="dkEdge">
          <a:bevelB w="0" h="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0" rtlCol="0" anchor="ctr">
          <a:sp3d>
            <a:bevelT w="38100"/>
            <a:bevelB w="38100"/>
          </a:sp3d>
        </a:bodyPr>
        <a:lstStyle/>
        <a:p>
          <a:pPr lvl="8" algn="l"/>
          <a:r>
            <a:rPr lang="en-IE" sz="1400" b="1">
              <a:solidFill>
                <a:sysClr val="windowText" lastClr="000000"/>
              </a:solidFill>
              <a:latin typeface="Lato" panose="020F0502020204030203" pitchFamily="34" charset="0"/>
            </a:rPr>
            <a:t>                        ML/TF and FS Risk Profile</a:t>
          </a:r>
        </a:p>
      </xdr:txBody>
    </xdr:sp>
    <xdr:clientData/>
  </xdr:twoCellAnchor>
  <xdr:twoCellAnchor editAs="oneCell">
    <xdr:from>
      <xdr:col>1</xdr:col>
      <xdr:colOff>19050</xdr:colOff>
      <xdr:row>1</xdr:row>
      <xdr:rowOff>19050</xdr:rowOff>
    </xdr:from>
    <xdr:to>
      <xdr:col>1</xdr:col>
      <xdr:colOff>3723450</xdr:colOff>
      <xdr:row>5</xdr:row>
      <xdr:rowOff>19350</xdr:rowOff>
    </xdr:to>
    <xdr:pic>
      <xdr:nvPicPr>
        <xdr:cNvPr id="53" name="Picture 52" descr="http://plaza/comms/Useful%20Communictions%20Documents/cb-logo-colour_2017.jpg"/>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180975"/>
          <a:ext cx="3704400" cy="648000"/>
        </a:xfrm>
        <a:prstGeom prst="rect">
          <a:avLst/>
        </a:prstGeom>
        <a:noFill/>
        <a:ln cap="rnd">
          <a:noFill/>
          <a:miter lim="800000"/>
        </a:ln>
        <a:effectLst/>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590550</xdr:colOff>
          <xdr:row>45</xdr:row>
          <xdr:rowOff>9525</xdr:rowOff>
        </xdr:from>
        <xdr:to>
          <xdr:col>2</xdr:col>
          <xdr:colOff>1219200</xdr:colOff>
          <xdr:row>46</xdr:row>
          <xdr:rowOff>0</xdr:rowOff>
        </xdr:to>
        <xdr:sp macro="" textlink="">
          <xdr:nvSpPr>
            <xdr:cNvPr id="2152" name="Check Box 104" descr="Annually" hidden="1">
              <a:extLst>
                <a:ext uri="{63B3BB69-23CF-44E3-9099-C40C66FF867C}">
                  <a14:compatExt spid="_x0000_s2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Automated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1495425</xdr:colOff>
          <xdr:row>45</xdr:row>
          <xdr:rowOff>9525</xdr:rowOff>
        </xdr:from>
        <xdr:to>
          <xdr:col>2</xdr:col>
          <xdr:colOff>2124075</xdr:colOff>
          <xdr:row>46</xdr:row>
          <xdr:rowOff>0</xdr:rowOff>
        </xdr:to>
        <xdr:sp macro="" textlink="">
          <xdr:nvSpPr>
            <xdr:cNvPr id="2153" name="Check Box 105"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Manual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790575</xdr:colOff>
          <xdr:row>53</xdr:row>
          <xdr:rowOff>9525</xdr:rowOff>
        </xdr:from>
        <xdr:to>
          <xdr:col>2</xdr:col>
          <xdr:colOff>1457325</xdr:colOff>
          <xdr:row>54</xdr:row>
          <xdr:rowOff>0</xdr:rowOff>
        </xdr:to>
        <xdr:sp macro="" textlink="">
          <xdr:nvSpPr>
            <xdr:cNvPr id="2156" name="Check Box 108" hidden="1">
              <a:extLst>
                <a:ext uri="{63B3BB69-23CF-44E3-9099-C40C66FF867C}">
                  <a14:compatExt spid="_x0000_s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1466850</xdr:colOff>
          <xdr:row>53</xdr:row>
          <xdr:rowOff>9525</xdr:rowOff>
        </xdr:from>
        <xdr:to>
          <xdr:col>2</xdr:col>
          <xdr:colOff>2133600</xdr:colOff>
          <xdr:row>54</xdr:row>
          <xdr:rowOff>0</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54</xdr:row>
          <xdr:rowOff>9525</xdr:rowOff>
        </xdr:from>
        <xdr:to>
          <xdr:col>2</xdr:col>
          <xdr:colOff>1219200</xdr:colOff>
          <xdr:row>55</xdr:row>
          <xdr:rowOff>0</xdr:rowOff>
        </xdr:to>
        <xdr:sp macro="" textlink="">
          <xdr:nvSpPr>
            <xdr:cNvPr id="2158" name="Check Box 110" descr="Annually"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Automated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1495425</xdr:colOff>
          <xdr:row>54</xdr:row>
          <xdr:rowOff>9525</xdr:rowOff>
        </xdr:from>
        <xdr:to>
          <xdr:col>2</xdr:col>
          <xdr:colOff>2124075</xdr:colOff>
          <xdr:row>55</xdr:row>
          <xdr:rowOff>0</xdr:rowOff>
        </xdr:to>
        <xdr:sp macro="" textlink="">
          <xdr:nvSpPr>
            <xdr:cNvPr id="2159" name="Check Box 111" hidden="1">
              <a:extLst>
                <a:ext uri="{63B3BB69-23CF-44E3-9099-C40C66FF867C}">
                  <a14:compatExt spid="_x0000_s2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Manual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790575</xdr:colOff>
          <xdr:row>66</xdr:row>
          <xdr:rowOff>9525</xdr:rowOff>
        </xdr:from>
        <xdr:to>
          <xdr:col>2</xdr:col>
          <xdr:colOff>1457325</xdr:colOff>
          <xdr:row>66</xdr:row>
          <xdr:rowOff>514350</xdr:rowOff>
        </xdr:to>
        <xdr:sp macro="" textlink="">
          <xdr:nvSpPr>
            <xdr:cNvPr id="2160" name="Check Box 112" hidden="1">
              <a:extLst>
                <a:ext uri="{63B3BB69-23CF-44E3-9099-C40C66FF867C}">
                  <a14:compatExt spid="_x0000_s2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1466850</xdr:colOff>
          <xdr:row>66</xdr:row>
          <xdr:rowOff>9525</xdr:rowOff>
        </xdr:from>
        <xdr:to>
          <xdr:col>2</xdr:col>
          <xdr:colOff>2133600</xdr:colOff>
          <xdr:row>66</xdr:row>
          <xdr:rowOff>514350</xdr:rowOff>
        </xdr:to>
        <xdr:sp macro="" textlink="">
          <xdr:nvSpPr>
            <xdr:cNvPr id="2161" name="Check Box 113" hidden="1">
              <a:extLst>
                <a:ext uri="{63B3BB69-23CF-44E3-9099-C40C66FF867C}">
                  <a14:compatExt spid="_x0000_s2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790575</xdr:colOff>
          <xdr:row>66</xdr:row>
          <xdr:rowOff>9525</xdr:rowOff>
        </xdr:from>
        <xdr:to>
          <xdr:col>3</xdr:col>
          <xdr:colOff>1457325</xdr:colOff>
          <xdr:row>66</xdr:row>
          <xdr:rowOff>514350</xdr:rowOff>
        </xdr:to>
        <xdr:sp macro="" textlink="">
          <xdr:nvSpPr>
            <xdr:cNvPr id="2162" name="Check Box 114" hidden="1">
              <a:extLst>
                <a:ext uri="{63B3BB69-23CF-44E3-9099-C40C66FF867C}">
                  <a14:compatExt spid="_x0000_s2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1466850</xdr:colOff>
          <xdr:row>66</xdr:row>
          <xdr:rowOff>9525</xdr:rowOff>
        </xdr:from>
        <xdr:to>
          <xdr:col>3</xdr:col>
          <xdr:colOff>2133600</xdr:colOff>
          <xdr:row>66</xdr:row>
          <xdr:rowOff>514350</xdr:rowOff>
        </xdr:to>
        <xdr:sp macro="" textlink="">
          <xdr:nvSpPr>
            <xdr:cNvPr id="2163" name="Check Box 115" hidden="1">
              <a:extLst>
                <a:ext uri="{63B3BB69-23CF-44E3-9099-C40C66FF867C}">
                  <a14:compatExt spid="_x0000_s2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790575</xdr:colOff>
          <xdr:row>119</xdr:row>
          <xdr:rowOff>9525</xdr:rowOff>
        </xdr:from>
        <xdr:to>
          <xdr:col>3</xdr:col>
          <xdr:colOff>1457325</xdr:colOff>
          <xdr:row>120</xdr:row>
          <xdr:rowOff>0</xdr:rowOff>
        </xdr:to>
        <xdr:sp macro="" textlink="">
          <xdr:nvSpPr>
            <xdr:cNvPr id="2168" name="Check Box 120" hidden="1">
              <a:extLst>
                <a:ext uri="{63B3BB69-23CF-44E3-9099-C40C66FF867C}">
                  <a14:compatExt spid="_x0000_s2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1466850</xdr:colOff>
          <xdr:row>119</xdr:row>
          <xdr:rowOff>9525</xdr:rowOff>
        </xdr:from>
        <xdr:to>
          <xdr:col>3</xdr:col>
          <xdr:colOff>2133600</xdr:colOff>
          <xdr:row>120</xdr:row>
          <xdr:rowOff>0</xdr:rowOff>
        </xdr:to>
        <xdr:sp macro="" textlink="">
          <xdr:nvSpPr>
            <xdr:cNvPr id="2169" name="Check Box 121" hidden="1">
              <a:extLst>
                <a:ext uri="{63B3BB69-23CF-44E3-9099-C40C66FF867C}">
                  <a14:compatExt spid="_x0000_s2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790575</xdr:colOff>
          <xdr:row>120</xdr:row>
          <xdr:rowOff>9525</xdr:rowOff>
        </xdr:from>
        <xdr:to>
          <xdr:col>3</xdr:col>
          <xdr:colOff>1457325</xdr:colOff>
          <xdr:row>121</xdr:row>
          <xdr:rowOff>0</xdr:rowOff>
        </xdr:to>
        <xdr:sp macro="" textlink="">
          <xdr:nvSpPr>
            <xdr:cNvPr id="2170" name="Check Box 122" hidden="1">
              <a:extLst>
                <a:ext uri="{63B3BB69-23CF-44E3-9099-C40C66FF867C}">
                  <a14:compatExt spid="_x0000_s2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1466850</xdr:colOff>
          <xdr:row>120</xdr:row>
          <xdr:rowOff>9525</xdr:rowOff>
        </xdr:from>
        <xdr:to>
          <xdr:col>3</xdr:col>
          <xdr:colOff>2133600</xdr:colOff>
          <xdr:row>121</xdr:row>
          <xdr:rowOff>0</xdr:rowOff>
        </xdr:to>
        <xdr:sp macro="" textlink="">
          <xdr:nvSpPr>
            <xdr:cNvPr id="2171" name="Check Box 123" hidden="1">
              <a:extLst>
                <a:ext uri="{63B3BB69-23CF-44E3-9099-C40C66FF867C}">
                  <a14:compatExt spid="_x0000_s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790575</xdr:colOff>
          <xdr:row>121</xdr:row>
          <xdr:rowOff>9525</xdr:rowOff>
        </xdr:from>
        <xdr:to>
          <xdr:col>3</xdr:col>
          <xdr:colOff>1457325</xdr:colOff>
          <xdr:row>122</xdr:row>
          <xdr:rowOff>0</xdr:rowOff>
        </xdr:to>
        <xdr:sp macro="" textlink="">
          <xdr:nvSpPr>
            <xdr:cNvPr id="2172" name="Check Box 124" hidden="1">
              <a:extLst>
                <a:ext uri="{63B3BB69-23CF-44E3-9099-C40C66FF867C}">
                  <a14:compatExt spid="_x0000_s2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1466850</xdr:colOff>
          <xdr:row>121</xdr:row>
          <xdr:rowOff>9525</xdr:rowOff>
        </xdr:from>
        <xdr:to>
          <xdr:col>3</xdr:col>
          <xdr:colOff>2133600</xdr:colOff>
          <xdr:row>122</xdr:row>
          <xdr:rowOff>0</xdr:rowOff>
        </xdr:to>
        <xdr:sp macro="" textlink="">
          <xdr:nvSpPr>
            <xdr:cNvPr id="2173" name="Check Box 125" hidden="1">
              <a:extLst>
                <a:ext uri="{63B3BB69-23CF-44E3-9099-C40C66FF867C}">
                  <a14:compatExt spid="_x0000_s2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790575</xdr:colOff>
          <xdr:row>95</xdr:row>
          <xdr:rowOff>9525</xdr:rowOff>
        </xdr:from>
        <xdr:to>
          <xdr:col>2</xdr:col>
          <xdr:colOff>1457325</xdr:colOff>
          <xdr:row>95</xdr:row>
          <xdr:rowOff>390525</xdr:rowOff>
        </xdr:to>
        <xdr:sp macro="" textlink="">
          <xdr:nvSpPr>
            <xdr:cNvPr id="2184" name="Check Box 136" hidden="1">
              <a:extLst>
                <a:ext uri="{63B3BB69-23CF-44E3-9099-C40C66FF867C}">
                  <a14:compatExt spid="_x0000_s2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1466850</xdr:colOff>
          <xdr:row>95</xdr:row>
          <xdr:rowOff>9525</xdr:rowOff>
        </xdr:from>
        <xdr:to>
          <xdr:col>2</xdr:col>
          <xdr:colOff>2133600</xdr:colOff>
          <xdr:row>95</xdr:row>
          <xdr:rowOff>390525</xdr:rowOff>
        </xdr:to>
        <xdr:sp macro="" textlink="">
          <xdr:nvSpPr>
            <xdr:cNvPr id="2185" name="Check Box 137" hidden="1">
              <a:extLst>
                <a:ext uri="{63B3BB69-23CF-44E3-9099-C40C66FF867C}">
                  <a14:compatExt spid="_x0000_s2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790575</xdr:colOff>
          <xdr:row>96</xdr:row>
          <xdr:rowOff>9525</xdr:rowOff>
        </xdr:from>
        <xdr:to>
          <xdr:col>2</xdr:col>
          <xdr:colOff>1457325</xdr:colOff>
          <xdr:row>96</xdr:row>
          <xdr:rowOff>390525</xdr:rowOff>
        </xdr:to>
        <xdr:sp macro="" textlink="">
          <xdr:nvSpPr>
            <xdr:cNvPr id="2186" name="Check Box 138" hidden="1">
              <a:extLst>
                <a:ext uri="{63B3BB69-23CF-44E3-9099-C40C66FF867C}">
                  <a14:compatExt spid="_x0000_s2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1466850</xdr:colOff>
          <xdr:row>96</xdr:row>
          <xdr:rowOff>9525</xdr:rowOff>
        </xdr:from>
        <xdr:to>
          <xdr:col>2</xdr:col>
          <xdr:colOff>2133600</xdr:colOff>
          <xdr:row>96</xdr:row>
          <xdr:rowOff>390525</xdr:rowOff>
        </xdr:to>
        <xdr:sp macro="" textlink="">
          <xdr:nvSpPr>
            <xdr:cNvPr id="2187" name="Check Box 139" hidden="1">
              <a:extLst>
                <a:ext uri="{63B3BB69-23CF-44E3-9099-C40C66FF867C}">
                  <a14:compatExt spid="_x0000_s2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1485900</xdr:colOff>
          <xdr:row>113</xdr:row>
          <xdr:rowOff>0</xdr:rowOff>
        </xdr:from>
        <xdr:to>
          <xdr:col>4</xdr:col>
          <xdr:colOff>485775</xdr:colOff>
          <xdr:row>114</xdr:row>
          <xdr:rowOff>0</xdr:rowOff>
        </xdr:to>
        <xdr:sp macro="" textlink="">
          <xdr:nvSpPr>
            <xdr:cNvPr id="2201" name="Check Box 153" hidden="1">
              <a:extLst>
                <a:ext uri="{63B3BB69-23CF-44E3-9099-C40C66FF867C}">
                  <a14:compatExt spid="_x0000_s2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504825</xdr:colOff>
          <xdr:row>113</xdr:row>
          <xdr:rowOff>0</xdr:rowOff>
        </xdr:from>
        <xdr:to>
          <xdr:col>4</xdr:col>
          <xdr:colOff>2219325</xdr:colOff>
          <xdr:row>114</xdr:row>
          <xdr:rowOff>0</xdr:rowOff>
        </xdr:to>
        <xdr:sp macro="" textlink="">
          <xdr:nvSpPr>
            <xdr:cNvPr id="2202" name="Check Box 154" hidden="1">
              <a:extLst>
                <a:ext uri="{63B3BB69-23CF-44E3-9099-C40C66FF867C}">
                  <a14:compatExt spid="_x0000_s2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790575</xdr:colOff>
          <xdr:row>122</xdr:row>
          <xdr:rowOff>9525</xdr:rowOff>
        </xdr:from>
        <xdr:to>
          <xdr:col>3</xdr:col>
          <xdr:colOff>1457325</xdr:colOff>
          <xdr:row>123</xdr:row>
          <xdr:rowOff>0</xdr:rowOff>
        </xdr:to>
        <xdr:sp macro="" textlink="">
          <xdr:nvSpPr>
            <xdr:cNvPr id="2203" name="Check Box 155" hidden="1">
              <a:extLst>
                <a:ext uri="{63B3BB69-23CF-44E3-9099-C40C66FF867C}">
                  <a14:compatExt spid="_x0000_s2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1466850</xdr:colOff>
          <xdr:row>122</xdr:row>
          <xdr:rowOff>9525</xdr:rowOff>
        </xdr:from>
        <xdr:to>
          <xdr:col>3</xdr:col>
          <xdr:colOff>2133600</xdr:colOff>
          <xdr:row>123</xdr:row>
          <xdr:rowOff>0</xdr:rowOff>
        </xdr:to>
        <xdr:sp macro="" textlink="">
          <xdr:nvSpPr>
            <xdr:cNvPr id="2204" name="Check Box 156" hidden="1">
              <a:extLst>
                <a:ext uri="{63B3BB69-23CF-44E3-9099-C40C66FF867C}">
                  <a14:compatExt spid="_x0000_s2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1609725</xdr:colOff>
          <xdr:row>13</xdr:row>
          <xdr:rowOff>9525</xdr:rowOff>
        </xdr:from>
        <xdr:to>
          <xdr:col>3</xdr:col>
          <xdr:colOff>695325</xdr:colOff>
          <xdr:row>14</xdr:row>
          <xdr:rowOff>0</xdr:rowOff>
        </xdr:to>
        <xdr:sp macro="" textlink="">
          <xdr:nvSpPr>
            <xdr:cNvPr id="47116" name="Check Box 12" hidden="1">
              <a:extLst>
                <a:ext uri="{63B3BB69-23CF-44E3-9099-C40C66FF867C}">
                  <a14:compatExt spid="_x0000_s47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714375</xdr:colOff>
          <xdr:row>13</xdr:row>
          <xdr:rowOff>9525</xdr:rowOff>
        </xdr:from>
        <xdr:to>
          <xdr:col>3</xdr:col>
          <xdr:colOff>2514600</xdr:colOff>
          <xdr:row>14</xdr:row>
          <xdr:rowOff>0</xdr:rowOff>
        </xdr:to>
        <xdr:sp macro="" textlink="">
          <xdr:nvSpPr>
            <xdr:cNvPr id="47118" name="Check Box 14" hidden="1">
              <a:extLst>
                <a:ext uri="{63B3BB69-23CF-44E3-9099-C40C66FF867C}">
                  <a14:compatExt spid="_x0000_s47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809625</xdr:colOff>
          <xdr:row>22</xdr:row>
          <xdr:rowOff>9525</xdr:rowOff>
        </xdr:from>
        <xdr:to>
          <xdr:col>2</xdr:col>
          <xdr:colOff>1352550</xdr:colOff>
          <xdr:row>23</xdr:row>
          <xdr:rowOff>0</xdr:rowOff>
        </xdr:to>
        <xdr:sp macro="" textlink="">
          <xdr:nvSpPr>
            <xdr:cNvPr id="47123" name="Check Box 19" hidden="1">
              <a:extLst>
                <a:ext uri="{63B3BB69-23CF-44E3-9099-C40C66FF867C}">
                  <a14:compatExt spid="_x0000_s47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1476375</xdr:colOff>
          <xdr:row>22</xdr:row>
          <xdr:rowOff>9525</xdr:rowOff>
        </xdr:from>
        <xdr:to>
          <xdr:col>2</xdr:col>
          <xdr:colOff>2019300</xdr:colOff>
          <xdr:row>23</xdr:row>
          <xdr:rowOff>0</xdr:rowOff>
        </xdr:to>
        <xdr:sp macro="" textlink="">
          <xdr:nvSpPr>
            <xdr:cNvPr id="47124" name="Check Box 20" hidden="1">
              <a:extLst>
                <a:ext uri="{63B3BB69-23CF-44E3-9099-C40C66FF867C}">
                  <a14:compatExt spid="_x0000_s47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xdr:twoCellAnchor>
    <xdr:from>
      <xdr:col>0</xdr:col>
      <xdr:colOff>609598</xdr:colOff>
      <xdr:row>0</xdr:row>
      <xdr:rowOff>104775</xdr:rowOff>
    </xdr:from>
    <xdr:to>
      <xdr:col>4</xdr:col>
      <xdr:colOff>0</xdr:colOff>
      <xdr:row>5</xdr:row>
      <xdr:rowOff>162750</xdr:rowOff>
    </xdr:to>
    <xdr:sp macro="" textlink="">
      <xdr:nvSpPr>
        <xdr:cNvPr id="24" name="Rectangle 23"/>
        <xdr:cNvSpPr/>
      </xdr:nvSpPr>
      <xdr:spPr>
        <a:xfrm>
          <a:off x="609598" y="104775"/>
          <a:ext cx="10810877" cy="867600"/>
        </a:xfrm>
        <a:prstGeom prst="rect">
          <a:avLst/>
        </a:prstGeom>
        <a:solidFill>
          <a:sysClr val="window" lastClr="FFFFFF"/>
        </a:solidFill>
        <a:ln w="25400">
          <a:solidFill>
            <a:schemeClr val="tx1">
              <a:alpha val="50000"/>
            </a:schemeClr>
          </a:solidFill>
        </a:ln>
        <a:scene3d>
          <a:camera prst="orthographicFront"/>
          <a:lightRig rig="threePt" dir="t"/>
        </a:scene3d>
        <a:sp3d prstMaterial="dkEdge">
          <a:bevelB w="0" h="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0" rtlCol="0" anchor="ctr">
          <a:sp3d>
            <a:bevelT w="38100"/>
            <a:bevelB w="38100"/>
          </a:sp3d>
        </a:bodyPr>
        <a:lstStyle/>
        <a:p>
          <a:pPr lvl="8" algn="l"/>
          <a:r>
            <a:rPr lang="en-IE" sz="1400" b="1">
              <a:solidFill>
                <a:sysClr val="windowText" lastClr="000000"/>
              </a:solidFill>
              <a:latin typeface="Lato" panose="020F0502020204030203" pitchFamily="34" charset="0"/>
            </a:rPr>
            <a:t>                    Risk Based Approach</a:t>
          </a:r>
        </a:p>
      </xdr:txBody>
    </xdr:sp>
    <xdr:clientData/>
  </xdr:twoCellAnchor>
  <xdr:twoCellAnchor editAs="oneCell">
    <xdr:from>
      <xdr:col>1</xdr:col>
      <xdr:colOff>47625</xdr:colOff>
      <xdr:row>1</xdr:row>
      <xdr:rowOff>57150</xdr:rowOff>
    </xdr:from>
    <xdr:to>
      <xdr:col>1</xdr:col>
      <xdr:colOff>3752025</xdr:colOff>
      <xdr:row>5</xdr:row>
      <xdr:rowOff>57450</xdr:rowOff>
    </xdr:to>
    <xdr:pic>
      <xdr:nvPicPr>
        <xdr:cNvPr id="25" name="Picture 24" descr="http://plaza/comms/Useful%20Communictions%20Documents/cb-logo-colour_2017.jpg"/>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219075"/>
          <a:ext cx="3704400" cy="648000"/>
        </a:xfrm>
        <a:prstGeom prst="rect">
          <a:avLst/>
        </a:prstGeom>
        <a:noFill/>
        <a:ln cap="rnd">
          <a:noFill/>
          <a:miter lim="800000"/>
        </a:ln>
        <a:effectLst/>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809625</xdr:colOff>
          <xdr:row>8</xdr:row>
          <xdr:rowOff>9525</xdr:rowOff>
        </xdr:from>
        <xdr:to>
          <xdr:col>2</xdr:col>
          <xdr:colOff>1476375</xdr:colOff>
          <xdr:row>9</xdr:row>
          <xdr:rowOff>0</xdr:rowOff>
        </xdr:to>
        <xdr:sp macro="" textlink="">
          <xdr:nvSpPr>
            <xdr:cNvPr id="47204" name="Check Box 100" hidden="1">
              <a:extLst>
                <a:ext uri="{63B3BB69-23CF-44E3-9099-C40C66FF867C}">
                  <a14:compatExt spid="_x0000_s47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1476375</xdr:colOff>
          <xdr:row>8</xdr:row>
          <xdr:rowOff>9525</xdr:rowOff>
        </xdr:from>
        <xdr:to>
          <xdr:col>2</xdr:col>
          <xdr:colOff>2143125</xdr:colOff>
          <xdr:row>9</xdr:row>
          <xdr:rowOff>0</xdr:rowOff>
        </xdr:to>
        <xdr:sp macro="" textlink="">
          <xdr:nvSpPr>
            <xdr:cNvPr id="47205" name="Check Box 101" hidden="1">
              <a:extLst>
                <a:ext uri="{63B3BB69-23CF-44E3-9099-C40C66FF867C}">
                  <a14:compatExt spid="_x0000_s47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809625</xdr:colOff>
          <xdr:row>20</xdr:row>
          <xdr:rowOff>9525</xdr:rowOff>
        </xdr:from>
        <xdr:to>
          <xdr:col>2</xdr:col>
          <xdr:colOff>1476375</xdr:colOff>
          <xdr:row>21</xdr:row>
          <xdr:rowOff>0</xdr:rowOff>
        </xdr:to>
        <xdr:sp macro="" textlink="">
          <xdr:nvSpPr>
            <xdr:cNvPr id="47206" name="Check Box 102" hidden="1">
              <a:extLst>
                <a:ext uri="{63B3BB69-23CF-44E3-9099-C40C66FF867C}">
                  <a14:compatExt spid="_x0000_s47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1476375</xdr:colOff>
          <xdr:row>20</xdr:row>
          <xdr:rowOff>9525</xdr:rowOff>
        </xdr:from>
        <xdr:to>
          <xdr:col>2</xdr:col>
          <xdr:colOff>2143125</xdr:colOff>
          <xdr:row>21</xdr:row>
          <xdr:rowOff>0</xdr:rowOff>
        </xdr:to>
        <xdr:sp macro="" textlink="">
          <xdr:nvSpPr>
            <xdr:cNvPr id="47207" name="Check Box 103" hidden="1">
              <a:extLst>
                <a:ext uri="{63B3BB69-23CF-44E3-9099-C40C66FF867C}">
                  <a14:compatExt spid="_x0000_s47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809625</xdr:colOff>
          <xdr:row>33</xdr:row>
          <xdr:rowOff>9525</xdr:rowOff>
        </xdr:from>
        <xdr:to>
          <xdr:col>2</xdr:col>
          <xdr:colOff>1476375</xdr:colOff>
          <xdr:row>34</xdr:row>
          <xdr:rowOff>0</xdr:rowOff>
        </xdr:to>
        <xdr:sp macro="" textlink="">
          <xdr:nvSpPr>
            <xdr:cNvPr id="47208" name="Check Box 104" hidden="1">
              <a:extLst>
                <a:ext uri="{63B3BB69-23CF-44E3-9099-C40C66FF867C}">
                  <a14:compatExt spid="_x0000_s47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1476375</xdr:colOff>
          <xdr:row>33</xdr:row>
          <xdr:rowOff>9525</xdr:rowOff>
        </xdr:from>
        <xdr:to>
          <xdr:col>2</xdr:col>
          <xdr:colOff>2143125</xdr:colOff>
          <xdr:row>34</xdr:row>
          <xdr:rowOff>0</xdr:rowOff>
        </xdr:to>
        <xdr:sp macro="" textlink="">
          <xdr:nvSpPr>
            <xdr:cNvPr id="47209" name="Check Box 105" hidden="1">
              <a:extLst>
                <a:ext uri="{63B3BB69-23CF-44E3-9099-C40C66FF867C}">
                  <a14:compatExt spid="_x0000_s47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809625</xdr:colOff>
          <xdr:row>23</xdr:row>
          <xdr:rowOff>9525</xdr:rowOff>
        </xdr:from>
        <xdr:to>
          <xdr:col>2</xdr:col>
          <xdr:colOff>1352550</xdr:colOff>
          <xdr:row>24</xdr:row>
          <xdr:rowOff>0</xdr:rowOff>
        </xdr:to>
        <xdr:sp macro="" textlink="">
          <xdr:nvSpPr>
            <xdr:cNvPr id="47210" name="Check Box 106" hidden="1">
              <a:extLst>
                <a:ext uri="{63B3BB69-23CF-44E3-9099-C40C66FF867C}">
                  <a14:compatExt spid="_x0000_s47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1476375</xdr:colOff>
          <xdr:row>23</xdr:row>
          <xdr:rowOff>9525</xdr:rowOff>
        </xdr:from>
        <xdr:to>
          <xdr:col>2</xdr:col>
          <xdr:colOff>2019300</xdr:colOff>
          <xdr:row>24</xdr:row>
          <xdr:rowOff>0</xdr:rowOff>
        </xdr:to>
        <xdr:sp macro="" textlink="">
          <xdr:nvSpPr>
            <xdr:cNvPr id="47211" name="Check Box 107" hidden="1">
              <a:extLst>
                <a:ext uri="{63B3BB69-23CF-44E3-9099-C40C66FF867C}">
                  <a14:compatExt spid="_x0000_s47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809625</xdr:colOff>
          <xdr:row>36</xdr:row>
          <xdr:rowOff>9525</xdr:rowOff>
        </xdr:from>
        <xdr:to>
          <xdr:col>2</xdr:col>
          <xdr:colOff>1352550</xdr:colOff>
          <xdr:row>37</xdr:row>
          <xdr:rowOff>0</xdr:rowOff>
        </xdr:to>
        <xdr:sp macro="" textlink="">
          <xdr:nvSpPr>
            <xdr:cNvPr id="47214" name="Check Box 110" hidden="1">
              <a:extLst>
                <a:ext uri="{63B3BB69-23CF-44E3-9099-C40C66FF867C}">
                  <a14:compatExt spid="_x0000_s47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1476375</xdr:colOff>
          <xdr:row>36</xdr:row>
          <xdr:rowOff>9525</xdr:rowOff>
        </xdr:from>
        <xdr:to>
          <xdr:col>2</xdr:col>
          <xdr:colOff>2019300</xdr:colOff>
          <xdr:row>37</xdr:row>
          <xdr:rowOff>0</xdr:rowOff>
        </xdr:to>
        <xdr:sp macro="" textlink="">
          <xdr:nvSpPr>
            <xdr:cNvPr id="47215" name="Check Box 111" hidden="1">
              <a:extLst>
                <a:ext uri="{63B3BB69-23CF-44E3-9099-C40C66FF867C}">
                  <a14:compatExt spid="_x0000_s47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809625</xdr:colOff>
          <xdr:row>37</xdr:row>
          <xdr:rowOff>9525</xdr:rowOff>
        </xdr:from>
        <xdr:to>
          <xdr:col>2</xdr:col>
          <xdr:colOff>1352550</xdr:colOff>
          <xdr:row>38</xdr:row>
          <xdr:rowOff>0</xdr:rowOff>
        </xdr:to>
        <xdr:sp macro="" textlink="">
          <xdr:nvSpPr>
            <xdr:cNvPr id="47217" name="Check Box 113" hidden="1">
              <a:extLst>
                <a:ext uri="{63B3BB69-23CF-44E3-9099-C40C66FF867C}">
                  <a14:compatExt spid="_x0000_s47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1476375</xdr:colOff>
          <xdr:row>37</xdr:row>
          <xdr:rowOff>9525</xdr:rowOff>
        </xdr:from>
        <xdr:to>
          <xdr:col>2</xdr:col>
          <xdr:colOff>2019300</xdr:colOff>
          <xdr:row>38</xdr:row>
          <xdr:rowOff>0</xdr:rowOff>
        </xdr:to>
        <xdr:sp macro="" textlink="">
          <xdr:nvSpPr>
            <xdr:cNvPr id="47218" name="Check Box 114" hidden="1">
              <a:extLst>
                <a:ext uri="{63B3BB69-23CF-44E3-9099-C40C66FF867C}">
                  <a14:compatExt spid="_x0000_s47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35</xdr:row>
          <xdr:rowOff>0</xdr:rowOff>
        </xdr:from>
        <xdr:to>
          <xdr:col>2</xdr:col>
          <xdr:colOff>1295400</xdr:colOff>
          <xdr:row>36</xdr:row>
          <xdr:rowOff>0</xdr:rowOff>
        </xdr:to>
        <xdr:sp macro="" textlink="">
          <xdr:nvSpPr>
            <xdr:cNvPr id="47228" name="Check Box 124" hidden="1">
              <a:extLst>
                <a:ext uri="{63B3BB69-23CF-44E3-9099-C40C66FF867C}">
                  <a14:compatExt spid="_x0000_s47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Group related parties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1514475</xdr:colOff>
          <xdr:row>35</xdr:row>
          <xdr:rowOff>0</xdr:rowOff>
        </xdr:from>
        <xdr:to>
          <xdr:col>2</xdr:col>
          <xdr:colOff>2590800</xdr:colOff>
          <xdr:row>36</xdr:row>
          <xdr:rowOff>0</xdr:rowOff>
        </xdr:to>
        <xdr:sp macro="" textlink="">
          <xdr:nvSpPr>
            <xdr:cNvPr id="47229" name="Check Box 125" hidden="1">
              <a:extLst>
                <a:ext uri="{63B3BB69-23CF-44E3-9099-C40C66FF867C}">
                  <a14:compatExt spid="_x0000_s47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Non-group related parties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1609725</xdr:colOff>
          <xdr:row>45</xdr:row>
          <xdr:rowOff>9525</xdr:rowOff>
        </xdr:from>
        <xdr:to>
          <xdr:col>3</xdr:col>
          <xdr:colOff>695325</xdr:colOff>
          <xdr:row>46</xdr:row>
          <xdr:rowOff>0</xdr:rowOff>
        </xdr:to>
        <xdr:sp macro="" textlink="">
          <xdr:nvSpPr>
            <xdr:cNvPr id="47236" name="Check Box 132" hidden="1">
              <a:extLst>
                <a:ext uri="{63B3BB69-23CF-44E3-9099-C40C66FF867C}">
                  <a14:compatExt spid="_x0000_s47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714375</xdr:colOff>
          <xdr:row>45</xdr:row>
          <xdr:rowOff>9525</xdr:rowOff>
        </xdr:from>
        <xdr:to>
          <xdr:col>3</xdr:col>
          <xdr:colOff>2514600</xdr:colOff>
          <xdr:row>46</xdr:row>
          <xdr:rowOff>0</xdr:rowOff>
        </xdr:to>
        <xdr:sp macro="" textlink="">
          <xdr:nvSpPr>
            <xdr:cNvPr id="47237" name="Check Box 133" hidden="1">
              <a:extLst>
                <a:ext uri="{63B3BB69-23CF-44E3-9099-C40C66FF867C}">
                  <a14:compatExt spid="_x0000_s47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695325</xdr:colOff>
          <xdr:row>38</xdr:row>
          <xdr:rowOff>0</xdr:rowOff>
        </xdr:from>
        <xdr:to>
          <xdr:col>3</xdr:col>
          <xdr:colOff>1590675</xdr:colOff>
          <xdr:row>39</xdr:row>
          <xdr:rowOff>0</xdr:rowOff>
        </xdr:to>
        <xdr:sp macro="" textlink="">
          <xdr:nvSpPr>
            <xdr:cNvPr id="74753" name="Check Box 1" hidden="1">
              <a:extLst>
                <a:ext uri="{63B3BB69-23CF-44E3-9099-C40C66FF867C}">
                  <a14:compatExt spid="_x0000_s74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1609725</xdr:colOff>
          <xdr:row>38</xdr:row>
          <xdr:rowOff>0</xdr:rowOff>
        </xdr:from>
        <xdr:to>
          <xdr:col>3</xdr:col>
          <xdr:colOff>2505075</xdr:colOff>
          <xdr:row>39</xdr:row>
          <xdr:rowOff>0</xdr:rowOff>
        </xdr:to>
        <xdr:sp macro="" textlink="">
          <xdr:nvSpPr>
            <xdr:cNvPr id="74754" name="Check Box 2" hidden="1">
              <a:extLst>
                <a:ext uri="{63B3BB69-23CF-44E3-9099-C40C66FF867C}">
                  <a14:compatExt spid="_x0000_s74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175">
                  <a:solidFill>
                    <a:srgbClr val="7F7F7F"/>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No</a:t>
              </a:r>
            </a:p>
          </xdr:txBody>
        </xdr:sp>
        <xdr:clientData/>
      </xdr:twoCellAnchor>
    </mc:Choice>
    <mc:Fallback/>
  </mc:AlternateContent>
  <xdr:twoCellAnchor>
    <xdr:from>
      <xdr:col>1</xdr:col>
      <xdr:colOff>0</xdr:colOff>
      <xdr:row>1</xdr:row>
      <xdr:rowOff>66675</xdr:rowOff>
    </xdr:from>
    <xdr:to>
      <xdr:col>3</xdr:col>
      <xdr:colOff>2710350</xdr:colOff>
      <xdr:row>5</xdr:row>
      <xdr:rowOff>172275</xdr:rowOff>
    </xdr:to>
    <xdr:sp macro="" textlink="">
      <xdr:nvSpPr>
        <xdr:cNvPr id="4" name="Rectangle 3"/>
        <xdr:cNvSpPr/>
      </xdr:nvSpPr>
      <xdr:spPr>
        <a:xfrm>
          <a:off x="609600" y="257175"/>
          <a:ext cx="8139600" cy="867600"/>
        </a:xfrm>
        <a:prstGeom prst="rect">
          <a:avLst/>
        </a:prstGeom>
        <a:solidFill>
          <a:sysClr val="window" lastClr="FFFFFF"/>
        </a:solidFill>
        <a:ln w="25400">
          <a:solidFill>
            <a:schemeClr val="tx1">
              <a:alpha val="50000"/>
            </a:schemeClr>
          </a:solidFill>
        </a:ln>
        <a:scene3d>
          <a:camera prst="orthographicFront"/>
          <a:lightRig rig="threePt" dir="t"/>
        </a:scene3d>
        <a:sp3d prstMaterial="dkEdge">
          <a:bevelB w="0" h="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0" rtlCol="0" anchor="ctr">
          <a:sp3d>
            <a:bevelT w="38100"/>
            <a:bevelB w="38100"/>
          </a:sp3d>
        </a:bodyPr>
        <a:lstStyle/>
        <a:p>
          <a:pPr lvl="8" algn="l"/>
          <a:r>
            <a:rPr lang="en-IE" sz="1400" b="1">
              <a:solidFill>
                <a:sysClr val="windowText" lastClr="000000"/>
              </a:solidFill>
              <a:latin typeface="Lato" panose="020F0502020204030203" pitchFamily="34" charset="0"/>
            </a:rPr>
            <a:t>Declarations</a:t>
          </a:r>
        </a:p>
      </xdr:txBody>
    </xdr:sp>
    <xdr:clientData/>
  </xdr:twoCellAnchor>
  <xdr:twoCellAnchor editAs="oneCell">
    <xdr:from>
      <xdr:col>1</xdr:col>
      <xdr:colOff>76200</xdr:colOff>
      <xdr:row>1</xdr:row>
      <xdr:rowOff>161925</xdr:rowOff>
    </xdr:from>
    <xdr:to>
      <xdr:col>2</xdr:col>
      <xdr:colOff>1065975</xdr:colOff>
      <xdr:row>5</xdr:row>
      <xdr:rowOff>47925</xdr:rowOff>
    </xdr:to>
    <xdr:pic>
      <xdr:nvPicPr>
        <xdr:cNvPr id="5" name="Picture 4" descr="http://plaza/comms/Useful%20Communictions%20Documents/cb-logo-colour_2017.jpg"/>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352425"/>
          <a:ext cx="3704400" cy="648000"/>
        </a:xfrm>
        <a:prstGeom prst="rect">
          <a:avLst/>
        </a:prstGeom>
        <a:noFill/>
        <a:ln cap="rnd">
          <a:noFill/>
          <a:miter lim="800000"/>
        </a:ln>
        <a:effectLst/>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drms.cbfsai.local/otcsdav/nodes/210781767/1.%20VASPs_Pre_Authorisation_Registration_Form_Draft_v0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drms.cbfsai.local/otcsdav/nodes/203802982/1.%20VASPs_Pre_Authorisation_Registration_Form_Draft_v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balfe/AppData/Local/Microsoft/Windows/INetCache/Content.Outlook/5X2B15JG/VASPs_Pre_Authorisation_requirements_20191114_v01%20(0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drms.cbfsai.local/otcsdav/nodes/203802982/2.%20Application%20for%20a%20Legal%20Person%20or%20other%20Entity%20Type_2021032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Cbalfe/AppData/Local/Microsoft/Windows/INetCache/Content.Outlook/5X2B15JG/2.%20Application%20for%20a%20Legal%20Person%20or%20other%20Entity%20Type_20210307_CB%20Comments%20(00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Cbalfe/AppData/Local/Microsoft/Windows/INetCache/Content.Outlook/5X2B15JG/Copy%20of%203.%20Application%20for%20a%20Natural%20Person_Test_v02%20(002)%20(00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edrms.cbfsai.local/otcsdav/nodes/201087155/1.%20Application%20for%20a%20Legal%20Person%20or%20other%20Entity%20Type_202001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ver"/>
      <sheetName val="Sample Watermark"/>
      <sheetName val="1. Applicant Firm Details"/>
      <sheetName val="2. Ownership &amp; Management"/>
      <sheetName val="3. AML CFT FS Goverance"/>
      <sheetName val="4. ML.TF Risk Profile"/>
      <sheetName val="5. Risk Based Approach"/>
      <sheetName val="Declarations - Complete All"/>
      <sheetName val="Glossary"/>
      <sheetName val="Documentation Checklist "/>
      <sheetName val="Business Plan"/>
      <sheetName val="Required Documentation"/>
    </sheetNames>
    <sheetDataSet>
      <sheetData sheetId="0">
        <row r="2">
          <cell r="A2" t="str">
            <v>Daily</v>
          </cell>
          <cell r="C2" t="str">
            <v>Daily</v>
          </cell>
          <cell r="I2" t="str">
            <v>Yes</v>
          </cell>
          <cell r="K2" t="str">
            <v>Ultra High</v>
          </cell>
          <cell r="M2" t="str">
            <v>Co. Antrim</v>
          </cell>
          <cell r="O2" t="str">
            <v>Austria</v>
          </cell>
          <cell r="Q2" t="str">
            <v>Afghanistan</v>
          </cell>
          <cell r="S2" t="str">
            <v>Sole trader</v>
          </cell>
          <cell r="AB2">
            <v>1</v>
          </cell>
          <cell r="AJ2">
            <v>0</v>
          </cell>
          <cell r="AL2">
            <v>0</v>
          </cell>
          <cell r="AN2" t="str">
            <v>Shareholder</v>
          </cell>
        </row>
        <row r="3">
          <cell r="A3" t="str">
            <v>Weekly</v>
          </cell>
          <cell r="C3" t="str">
            <v>Weekly</v>
          </cell>
          <cell r="I3" t="str">
            <v>No</v>
          </cell>
          <cell r="K3" t="str">
            <v>High</v>
          </cell>
          <cell r="M3" t="str">
            <v>Co. Armagh</v>
          </cell>
          <cell r="O3" t="str">
            <v>Belgium</v>
          </cell>
          <cell r="Q3" t="str">
            <v>Albania</v>
          </cell>
          <cell r="S3" t="str">
            <v>Private limited company</v>
          </cell>
          <cell r="AB3">
            <v>2</v>
          </cell>
          <cell r="AJ3">
            <v>1</v>
          </cell>
          <cell r="AL3">
            <v>1</v>
          </cell>
          <cell r="AN3" t="str">
            <v>Partner</v>
          </cell>
          <cell r="BX3" t="str">
            <v>FALSE FALSE FALSE</v>
          </cell>
          <cell r="BY3">
            <v>0</v>
          </cell>
          <cell r="BZ3">
            <v>0</v>
          </cell>
          <cell r="CB3" t="str">
            <v>FALSE FALSE FALSE</v>
          </cell>
          <cell r="CC3">
            <v>0</v>
          </cell>
          <cell r="CD3">
            <v>1</v>
          </cell>
          <cell r="CF3" t="str">
            <v>FALSE FALSE FALSE</v>
          </cell>
          <cell r="CG3">
            <v>0</v>
          </cell>
          <cell r="CH3">
            <v>1</v>
          </cell>
        </row>
        <row r="4">
          <cell r="A4" t="str">
            <v>Monthly</v>
          </cell>
          <cell r="C4" t="str">
            <v>Monthly</v>
          </cell>
          <cell r="K4" t="str">
            <v>Medium High</v>
          </cell>
          <cell r="M4" t="str">
            <v>Co. Carlow</v>
          </cell>
          <cell r="O4" t="str">
            <v>Bulgaria</v>
          </cell>
          <cell r="Q4" t="str">
            <v>Algeria</v>
          </cell>
          <cell r="S4" t="str">
            <v>Partnership</v>
          </cell>
          <cell r="AB4">
            <v>3</v>
          </cell>
          <cell r="AJ4">
            <v>2</v>
          </cell>
          <cell r="AL4">
            <v>2</v>
          </cell>
          <cell r="BX4" t="str">
            <v>TRUE FALSE FALSE</v>
          </cell>
          <cell r="BY4" t="str">
            <v>Yes</v>
          </cell>
          <cell r="BZ4">
            <v>0</v>
          </cell>
          <cell r="CB4" t="str">
            <v>TRUE FALSE FALSE</v>
          </cell>
          <cell r="CC4" t="str">
            <v>Yes</v>
          </cell>
          <cell r="CD4">
            <v>0</v>
          </cell>
          <cell r="CF4" t="str">
            <v>TRUE FALSE FALSE</v>
          </cell>
          <cell r="CG4" t="str">
            <v>Yes</v>
          </cell>
          <cell r="CH4">
            <v>0</v>
          </cell>
        </row>
        <row r="5">
          <cell r="A5" t="str">
            <v>Quarterly</v>
          </cell>
          <cell r="C5" t="str">
            <v>Quarterly</v>
          </cell>
          <cell r="K5" t="str">
            <v>Medium Low</v>
          </cell>
          <cell r="M5" t="str">
            <v>Co. Cavan</v>
          </cell>
          <cell r="O5" t="str">
            <v>Croatia</v>
          </cell>
          <cell r="Q5" t="str">
            <v>American Samoa</v>
          </cell>
          <cell r="S5" t="str">
            <v>Designated Activity Company</v>
          </cell>
          <cell r="AB5">
            <v>4</v>
          </cell>
          <cell r="AJ5">
            <v>3</v>
          </cell>
          <cell r="AL5">
            <v>3</v>
          </cell>
          <cell r="BX5" t="str">
            <v>FALSE TRUE FALSE</v>
          </cell>
          <cell r="BY5" t="str">
            <v>No</v>
          </cell>
          <cell r="BZ5">
            <v>0</v>
          </cell>
          <cell r="CB5" t="str">
            <v>FALSE TRUE FALSE</v>
          </cell>
          <cell r="CC5" t="str">
            <v>No</v>
          </cell>
          <cell r="CD5">
            <v>0</v>
          </cell>
          <cell r="CF5" t="str">
            <v>FALSE TRUE FALSE</v>
          </cell>
          <cell r="CG5" t="str">
            <v>No</v>
          </cell>
          <cell r="CH5">
            <v>0</v>
          </cell>
        </row>
        <row r="6">
          <cell r="A6" t="str">
            <v>Half Yearly</v>
          </cell>
          <cell r="C6" t="str">
            <v>Half Yearly</v>
          </cell>
          <cell r="K6" t="str">
            <v>Low</v>
          </cell>
          <cell r="M6" t="str">
            <v>Co. Clare</v>
          </cell>
          <cell r="O6" t="str">
            <v>Cyprus (Republic of)</v>
          </cell>
          <cell r="Q6" t="str">
            <v>Andorra</v>
          </cell>
          <cell r="S6" t="str">
            <v>Limited liability partnership</v>
          </cell>
          <cell r="AB6">
            <v>5</v>
          </cell>
          <cell r="AJ6">
            <v>4</v>
          </cell>
          <cell r="AL6">
            <v>4</v>
          </cell>
          <cell r="BX6" t="str">
            <v>FALSE FALSE TRUE</v>
          </cell>
          <cell r="BY6" t="str">
            <v>Incomplete</v>
          </cell>
          <cell r="BZ6">
            <v>0</v>
          </cell>
          <cell r="CB6" t="str">
            <v>FALSE FALSE TRUE</v>
          </cell>
          <cell r="CC6" t="str">
            <v>N/A</v>
          </cell>
          <cell r="CD6">
            <v>0</v>
          </cell>
          <cell r="CF6" t="str">
            <v>FALSE FALSE TRUE</v>
          </cell>
          <cell r="CG6" t="str">
            <v>N/A</v>
          </cell>
          <cell r="CH6">
            <v>0</v>
          </cell>
        </row>
        <row r="7">
          <cell r="A7" t="str">
            <v>Annually</v>
          </cell>
          <cell r="C7" t="str">
            <v>Annually</v>
          </cell>
          <cell r="K7" t="str">
            <v>RA not completed</v>
          </cell>
          <cell r="M7" t="str">
            <v>Co. Cork</v>
          </cell>
          <cell r="O7" t="str">
            <v>Czech Republic</v>
          </cell>
          <cell r="Q7" t="str">
            <v>Angola</v>
          </cell>
          <cell r="S7" t="str">
            <v>Public limited company</v>
          </cell>
          <cell r="AB7" t="str">
            <v>N/A</v>
          </cell>
          <cell r="AJ7">
            <v>5</v>
          </cell>
          <cell r="BX7" t="str">
            <v>TRUE TRUE TRUE</v>
          </cell>
          <cell r="BY7" t="str">
            <v>Invalid Input</v>
          </cell>
          <cell r="BZ7">
            <v>1</v>
          </cell>
          <cell r="CB7" t="str">
            <v>TRUE TRUE TRUE</v>
          </cell>
          <cell r="CC7" t="str">
            <v>Please select only one option</v>
          </cell>
          <cell r="CD7">
            <v>1</v>
          </cell>
          <cell r="CF7" t="str">
            <v>TRUE TRUE TRUE</v>
          </cell>
          <cell r="CG7" t="str">
            <v>Invalid Input</v>
          </cell>
          <cell r="CH7">
            <v>1</v>
          </cell>
        </row>
        <row r="8">
          <cell r="A8" t="str">
            <v>Other (Please state below)</v>
          </cell>
          <cell r="C8" t="str">
            <v>Ad Hoc</v>
          </cell>
          <cell r="M8" t="str">
            <v>Co. Derry</v>
          </cell>
          <cell r="O8" t="str">
            <v>Denmark</v>
          </cell>
          <cell r="Q8" t="str">
            <v>Anguilla</v>
          </cell>
          <cell r="S8" t="str">
            <v>Limited partnership</v>
          </cell>
          <cell r="AJ8">
            <v>6</v>
          </cell>
          <cell r="BX8" t="str">
            <v>TRUE TRUE FALSE</v>
          </cell>
          <cell r="BY8" t="str">
            <v>Invalid Input</v>
          </cell>
          <cell r="BZ8">
            <v>1</v>
          </cell>
          <cell r="CB8" t="str">
            <v>TRUE TRUE FALSE</v>
          </cell>
          <cell r="CC8" t="str">
            <v>Please select only one option</v>
          </cell>
          <cell r="CD8">
            <v>1</v>
          </cell>
          <cell r="CF8" t="str">
            <v>TRUE TRUE FALSE</v>
          </cell>
          <cell r="CG8" t="str">
            <v>Invalid Input</v>
          </cell>
          <cell r="CH8">
            <v>1</v>
          </cell>
        </row>
        <row r="9">
          <cell r="M9" t="str">
            <v>Co. Donegal</v>
          </cell>
          <cell r="O9" t="str">
            <v>Estonia</v>
          </cell>
          <cell r="Q9" t="str">
            <v>Antarctica</v>
          </cell>
          <cell r="S9" t="str">
            <v>Unincorporated association</v>
          </cell>
          <cell r="AJ9">
            <v>7</v>
          </cell>
          <cell r="BX9" t="str">
            <v>TRUE FALSE TRUE</v>
          </cell>
          <cell r="BY9" t="str">
            <v>Invalid Input</v>
          </cell>
          <cell r="BZ9">
            <v>1</v>
          </cell>
          <cell r="CB9" t="str">
            <v>TRUE FALSE TRUE</v>
          </cell>
          <cell r="CC9" t="str">
            <v>Please select only one option</v>
          </cell>
          <cell r="CD9">
            <v>1</v>
          </cell>
          <cell r="CF9" t="str">
            <v>TRUE FALSE TRUE</v>
          </cell>
          <cell r="CG9" t="str">
            <v>Invalid Input</v>
          </cell>
          <cell r="CH9">
            <v>1</v>
          </cell>
        </row>
        <row r="10">
          <cell r="M10" t="str">
            <v>Co. Down</v>
          </cell>
          <cell r="O10" t="str">
            <v>Finland</v>
          </cell>
          <cell r="Q10" t="str">
            <v>Antigua And Barbuda</v>
          </cell>
          <cell r="S10" t="str">
            <v>Special purpose vehicle</v>
          </cell>
          <cell r="AJ10">
            <v>8</v>
          </cell>
          <cell r="BX10" t="str">
            <v>FALSE TRUE TRUE</v>
          </cell>
          <cell r="BY10" t="str">
            <v>Invalid Input</v>
          </cell>
          <cell r="BZ10">
            <v>1</v>
          </cell>
          <cell r="CB10" t="str">
            <v>FALSE TRUE TRUE</v>
          </cell>
          <cell r="CC10" t="str">
            <v>Please select only one option</v>
          </cell>
          <cell r="CD10">
            <v>1</v>
          </cell>
          <cell r="CF10" t="str">
            <v>FALSE TRUE TRUE</v>
          </cell>
          <cell r="CG10" t="str">
            <v>Invalid Input</v>
          </cell>
          <cell r="CH10">
            <v>1</v>
          </cell>
        </row>
        <row r="11">
          <cell r="M11" t="str">
            <v>Dublin 1</v>
          </cell>
          <cell r="O11" t="str">
            <v>France</v>
          </cell>
          <cell r="Q11" t="str">
            <v>Argentina</v>
          </cell>
          <cell r="S11" t="str">
            <v>Foreign entity - give details</v>
          </cell>
          <cell r="AJ11">
            <v>9</v>
          </cell>
        </row>
        <row r="12">
          <cell r="M12" t="str">
            <v>Dublin 2</v>
          </cell>
          <cell r="O12" t="str">
            <v>Germany</v>
          </cell>
          <cell r="Q12" t="str">
            <v>Armenia</v>
          </cell>
          <cell r="S12" t="str">
            <v>Other, please specify</v>
          </cell>
          <cell r="AJ12">
            <v>10</v>
          </cell>
        </row>
        <row r="13">
          <cell r="M13" t="str">
            <v>Dublin 3</v>
          </cell>
          <cell r="O13" t="str">
            <v>Greece</v>
          </cell>
          <cell r="Q13" t="str">
            <v>Aruba</v>
          </cell>
          <cell r="AJ13" t="str">
            <v>10+</v>
          </cell>
        </row>
        <row r="14">
          <cell r="M14" t="str">
            <v>Dublin 4</v>
          </cell>
          <cell r="O14" t="str">
            <v>Hungary</v>
          </cell>
          <cell r="Q14" t="str">
            <v>Australia</v>
          </cell>
        </row>
        <row r="15">
          <cell r="M15" t="str">
            <v>Dublin 5</v>
          </cell>
          <cell r="O15" t="str">
            <v xml:space="preserve">Iceland </v>
          </cell>
          <cell r="Q15" t="str">
            <v>Austria (EEA)</v>
          </cell>
        </row>
        <row r="16">
          <cell r="M16" t="str">
            <v xml:space="preserve">Dublin 6 </v>
          </cell>
          <cell r="O16" t="str">
            <v>Italy</v>
          </cell>
          <cell r="Q16" t="str">
            <v>Azerbaijan</v>
          </cell>
        </row>
        <row r="17">
          <cell r="M17" t="str">
            <v>Dublin 7</v>
          </cell>
          <cell r="O17" t="str">
            <v>Latvia</v>
          </cell>
          <cell r="Q17" t="str">
            <v>Bahamas</v>
          </cell>
        </row>
        <row r="18">
          <cell r="M18" t="str">
            <v>Dublin 6W</v>
          </cell>
          <cell r="O18" t="str">
            <v xml:space="preserve">Liechtenstein </v>
          </cell>
          <cell r="Q18" t="str">
            <v>Bahrain</v>
          </cell>
        </row>
        <row r="19">
          <cell r="M19" t="str">
            <v>Dublin 8</v>
          </cell>
          <cell r="O19" t="str">
            <v>Lithuania</v>
          </cell>
          <cell r="Q19" t="str">
            <v>Bangladesh</v>
          </cell>
        </row>
        <row r="20">
          <cell r="M20" t="str">
            <v>Dublin 9</v>
          </cell>
          <cell r="O20" t="str">
            <v>Luxembourg</v>
          </cell>
          <cell r="Q20" t="str">
            <v>Barbados</v>
          </cell>
        </row>
        <row r="21">
          <cell r="M21" t="str">
            <v xml:space="preserve">Dublin 10 </v>
          </cell>
          <cell r="O21" t="str">
            <v>Malta</v>
          </cell>
          <cell r="Q21" t="str">
            <v>Belarus</v>
          </cell>
        </row>
        <row r="22">
          <cell r="M22" t="str">
            <v>Dublin 11</v>
          </cell>
          <cell r="O22" t="str">
            <v>Netherlands</v>
          </cell>
          <cell r="Q22" t="str">
            <v>Belgium (EEA)</v>
          </cell>
        </row>
        <row r="23">
          <cell r="M23" t="str">
            <v>Dublin 12</v>
          </cell>
          <cell r="O23" t="str">
            <v xml:space="preserve">Norway </v>
          </cell>
          <cell r="Q23" t="str">
            <v>Belize</v>
          </cell>
        </row>
        <row r="24">
          <cell r="M24" t="str">
            <v>Dublin 13</v>
          </cell>
          <cell r="O24" t="str">
            <v>Poland</v>
          </cell>
          <cell r="Q24" t="str">
            <v>Benin</v>
          </cell>
        </row>
        <row r="25">
          <cell r="M25" t="str">
            <v>Dublin 14</v>
          </cell>
          <cell r="O25" t="str">
            <v>Portugal</v>
          </cell>
          <cell r="Q25" t="str">
            <v>Bermuda</v>
          </cell>
        </row>
        <row r="26">
          <cell r="M26" t="str">
            <v>Dublin 15</v>
          </cell>
          <cell r="O26" t="str">
            <v>Romania</v>
          </cell>
          <cell r="Q26" t="str">
            <v>Bhutan</v>
          </cell>
        </row>
        <row r="27">
          <cell r="M27" t="str">
            <v>Dublin 16</v>
          </cell>
          <cell r="O27" t="str">
            <v>Slovakia</v>
          </cell>
          <cell r="Q27" t="str">
            <v>Bolivia</v>
          </cell>
        </row>
        <row r="28">
          <cell r="M28" t="str">
            <v>Dublin 17</v>
          </cell>
          <cell r="O28" t="str">
            <v>Slovenia</v>
          </cell>
          <cell r="Q28" t="str">
            <v>Bosnia And Herzegovina</v>
          </cell>
        </row>
        <row r="29">
          <cell r="M29" t="str">
            <v>Dublin 18</v>
          </cell>
          <cell r="O29" t="str">
            <v>Spain</v>
          </cell>
          <cell r="Q29" t="str">
            <v>Botswana</v>
          </cell>
        </row>
        <row r="30">
          <cell r="M30" t="str">
            <v>Dublin 20</v>
          </cell>
          <cell r="O30" t="str">
            <v>Sweden</v>
          </cell>
          <cell r="Q30" t="str">
            <v>Bouvet Island</v>
          </cell>
        </row>
        <row r="31">
          <cell r="M31" t="str">
            <v>Dublin 22</v>
          </cell>
          <cell r="O31" t="str">
            <v>Switzerland (Non-EEA)</v>
          </cell>
          <cell r="Q31" t="str">
            <v>Brazil</v>
          </cell>
        </row>
        <row r="32">
          <cell r="M32" t="str">
            <v>Dublin 24</v>
          </cell>
          <cell r="O32" t="str">
            <v>Gibraltar (Non-EEA)</v>
          </cell>
          <cell r="Q32" t="str">
            <v>British Indian Ocean Territory</v>
          </cell>
        </row>
        <row r="33">
          <cell r="M33" t="str">
            <v>Co. Dublin</v>
          </cell>
          <cell r="Q33" t="str">
            <v>Brunei Darussalam</v>
          </cell>
        </row>
        <row r="34">
          <cell r="M34" t="str">
            <v>Co. Fermanagh</v>
          </cell>
          <cell r="Q34" t="str">
            <v xml:space="preserve">Bulgaria (EEA) </v>
          </cell>
        </row>
        <row r="35">
          <cell r="M35" t="str">
            <v>Co. Galway</v>
          </cell>
          <cell r="Q35" t="str">
            <v>Burkina Faso</v>
          </cell>
        </row>
        <row r="36">
          <cell r="M36" t="str">
            <v>Co. Kerry</v>
          </cell>
          <cell r="Q36" t="str">
            <v>Burma</v>
          </cell>
        </row>
        <row r="37">
          <cell r="M37" t="str">
            <v>Co. Kildare</v>
          </cell>
          <cell r="Q37" t="str">
            <v>Burundi</v>
          </cell>
        </row>
        <row r="38">
          <cell r="M38" t="str">
            <v>Co. Kilkenny</v>
          </cell>
          <cell r="Q38" t="str">
            <v>Cambodia</v>
          </cell>
        </row>
        <row r="39">
          <cell r="M39" t="str">
            <v>Co. Laois</v>
          </cell>
          <cell r="Q39" t="str">
            <v>Cameroon</v>
          </cell>
        </row>
        <row r="40">
          <cell r="M40" t="str">
            <v>Co. Leitrim</v>
          </cell>
          <cell r="Q40" t="str">
            <v>Canada</v>
          </cell>
        </row>
        <row r="41">
          <cell r="M41" t="str">
            <v>Co. Limerick</v>
          </cell>
          <cell r="Q41" t="str">
            <v>Cape Verde</v>
          </cell>
        </row>
        <row r="42">
          <cell r="M42" t="str">
            <v>Co. Longford</v>
          </cell>
          <cell r="Q42" t="str">
            <v>Cayman Islands</v>
          </cell>
        </row>
        <row r="43">
          <cell r="M43" t="str">
            <v>Co. Louth</v>
          </cell>
          <cell r="Q43" t="str">
            <v>Central African Republic</v>
          </cell>
        </row>
        <row r="44">
          <cell r="M44" t="str">
            <v>Co. Mayo</v>
          </cell>
          <cell r="Q44" t="str">
            <v>Ceuta</v>
          </cell>
        </row>
        <row r="45">
          <cell r="M45" t="str">
            <v>Co. Meath</v>
          </cell>
          <cell r="Q45" t="str">
            <v>Chad</v>
          </cell>
        </row>
        <row r="46">
          <cell r="M46" t="str">
            <v>Co. Monaghan</v>
          </cell>
          <cell r="Q46" t="str">
            <v>Chile</v>
          </cell>
        </row>
        <row r="47">
          <cell r="M47" t="str">
            <v>Co. Offaly</v>
          </cell>
          <cell r="Q47" t="str">
            <v>China</v>
          </cell>
        </row>
        <row r="48">
          <cell r="M48" t="str">
            <v>Co. Roscommon</v>
          </cell>
          <cell r="Q48" t="str">
            <v>Christmas Island</v>
          </cell>
        </row>
        <row r="49">
          <cell r="M49" t="str">
            <v>Co. Sligo</v>
          </cell>
          <cell r="Q49" t="str">
            <v>Cocos (Keeling) Islands</v>
          </cell>
        </row>
        <row r="50">
          <cell r="M50" t="str">
            <v>Co. Tipperary</v>
          </cell>
          <cell r="Q50" t="str">
            <v>Colombia</v>
          </cell>
        </row>
        <row r="51">
          <cell r="M51" t="str">
            <v>Co. Tyrone</v>
          </cell>
          <cell r="Q51" t="str">
            <v>Comoros</v>
          </cell>
        </row>
        <row r="52">
          <cell r="M52" t="str">
            <v>Co. Waterford</v>
          </cell>
          <cell r="Q52" t="str">
            <v>Congo</v>
          </cell>
        </row>
        <row r="53">
          <cell r="M53" t="str">
            <v>Co. Westmeath</v>
          </cell>
          <cell r="Q53" t="str">
            <v>Cook Islands</v>
          </cell>
        </row>
        <row r="54">
          <cell r="M54" t="str">
            <v>Co. Wexford</v>
          </cell>
          <cell r="Q54" t="str">
            <v>Costa Rica</v>
          </cell>
        </row>
        <row r="55">
          <cell r="M55" t="str">
            <v>Co. Wicklow</v>
          </cell>
          <cell r="Q55" t="str">
            <v>Cote D'Ivoire</v>
          </cell>
        </row>
        <row r="56">
          <cell r="Q56" t="str">
            <v>Croatia (EEA)</v>
          </cell>
        </row>
        <row r="57">
          <cell r="Q57" t="str">
            <v>Cuba</v>
          </cell>
        </row>
        <row r="58">
          <cell r="Q58" t="str">
            <v>Cyprus (Republic of) (EEA)</v>
          </cell>
        </row>
        <row r="59">
          <cell r="Q59" t="str">
            <v>Czech Republic (EEA)</v>
          </cell>
        </row>
        <row r="60">
          <cell r="Q60" t="str">
            <v>Democratic Republic Of Congo</v>
          </cell>
        </row>
        <row r="61">
          <cell r="Q61" t="str">
            <v>Denmark (EEA)</v>
          </cell>
        </row>
        <row r="62">
          <cell r="Q62" t="str">
            <v>Djibouti</v>
          </cell>
        </row>
        <row r="63">
          <cell r="Q63" t="str">
            <v>Dominica</v>
          </cell>
        </row>
        <row r="64">
          <cell r="Q64" t="str">
            <v>Dominican Republic</v>
          </cell>
        </row>
        <row r="65">
          <cell r="Q65" t="str">
            <v>Ecuador</v>
          </cell>
        </row>
        <row r="66">
          <cell r="Q66" t="str">
            <v>Egypt</v>
          </cell>
        </row>
        <row r="67">
          <cell r="Q67" t="str">
            <v>El Salvador</v>
          </cell>
        </row>
        <row r="68">
          <cell r="Q68" t="str">
            <v>Equatorial Guinea</v>
          </cell>
        </row>
        <row r="69">
          <cell r="Q69" t="str">
            <v>Eritrea</v>
          </cell>
        </row>
        <row r="70">
          <cell r="Q70" t="str">
            <v>Estonia (EEA)</v>
          </cell>
        </row>
        <row r="71">
          <cell r="Q71" t="str">
            <v>Ethiopia</v>
          </cell>
        </row>
        <row r="72">
          <cell r="Q72" t="str">
            <v>Falkland Islands</v>
          </cell>
        </row>
        <row r="73">
          <cell r="Q73" t="str">
            <v>Faroe Islands</v>
          </cell>
        </row>
        <row r="74">
          <cell r="Q74" t="str">
            <v>Fiji</v>
          </cell>
        </row>
        <row r="75">
          <cell r="Q75" t="str">
            <v>Finland (EEA)</v>
          </cell>
        </row>
        <row r="76">
          <cell r="Q76" t="str">
            <v>France (EEA)</v>
          </cell>
        </row>
        <row r="77">
          <cell r="Q77" t="str">
            <v>French Guiana</v>
          </cell>
        </row>
        <row r="78">
          <cell r="Q78" t="str">
            <v>French Polynesia</v>
          </cell>
        </row>
        <row r="79">
          <cell r="Q79" t="str">
            <v>French Southern And Antarctic Lands</v>
          </cell>
        </row>
        <row r="80">
          <cell r="Q80" t="str">
            <v>Gabon</v>
          </cell>
        </row>
        <row r="81">
          <cell r="Q81" t="str">
            <v>Gambia</v>
          </cell>
        </row>
        <row r="82">
          <cell r="Q82" t="str">
            <v>Gaza Strip</v>
          </cell>
        </row>
        <row r="83">
          <cell r="Q83" t="str">
            <v>Georgia</v>
          </cell>
        </row>
        <row r="84">
          <cell r="Q84" t="str">
            <v>Germany (EEA)</v>
          </cell>
        </row>
        <row r="85">
          <cell r="Q85" t="str">
            <v>Ghana</v>
          </cell>
        </row>
        <row r="86">
          <cell r="Q86" t="str">
            <v>Gibraltar</v>
          </cell>
        </row>
        <row r="87">
          <cell r="Q87" t="str">
            <v>Greece (EEA)</v>
          </cell>
        </row>
        <row r="88">
          <cell r="Q88" t="str">
            <v>Greenland</v>
          </cell>
        </row>
        <row r="89">
          <cell r="Q89" t="str">
            <v>Grenada</v>
          </cell>
        </row>
        <row r="90">
          <cell r="Q90" t="str">
            <v>Guadeloupe</v>
          </cell>
        </row>
        <row r="91">
          <cell r="Q91" t="str">
            <v>Guam</v>
          </cell>
        </row>
        <row r="92">
          <cell r="Q92" t="str">
            <v>Guatemala</v>
          </cell>
        </row>
        <row r="93">
          <cell r="Q93" t="str">
            <v>Guernsey</v>
          </cell>
        </row>
        <row r="94">
          <cell r="Q94" t="str">
            <v>Guinea</v>
          </cell>
        </row>
        <row r="95">
          <cell r="Q95" t="str">
            <v>Guinea-Bissau</v>
          </cell>
        </row>
        <row r="96">
          <cell r="Q96" t="str">
            <v>Guyana</v>
          </cell>
        </row>
        <row r="97">
          <cell r="Q97" t="str">
            <v>Haiti</v>
          </cell>
        </row>
        <row r="98">
          <cell r="Q98" t="str">
            <v>Honduras</v>
          </cell>
        </row>
        <row r="99">
          <cell r="Q99" t="str">
            <v>Hong Kong</v>
          </cell>
        </row>
        <row r="100">
          <cell r="Q100" t="str">
            <v>Hungary (EEA)</v>
          </cell>
        </row>
        <row r="101">
          <cell r="Q101" t="str">
            <v>Iceland</v>
          </cell>
        </row>
        <row r="102">
          <cell r="Q102" t="str">
            <v>India</v>
          </cell>
        </row>
        <row r="103">
          <cell r="Q103" t="str">
            <v>Indonesia</v>
          </cell>
        </row>
        <row r="104">
          <cell r="Q104" t="str">
            <v>Iran</v>
          </cell>
        </row>
        <row r="105">
          <cell r="Q105" t="str">
            <v>Iraq</v>
          </cell>
        </row>
        <row r="106">
          <cell r="Q106" t="str">
            <v>Ireland</v>
          </cell>
        </row>
        <row r="107">
          <cell r="Q107" t="str">
            <v>Isle of Man</v>
          </cell>
        </row>
        <row r="108">
          <cell r="Q108" t="str">
            <v>Israel</v>
          </cell>
        </row>
        <row r="109">
          <cell r="Q109" t="str">
            <v>Italy (EEA)</v>
          </cell>
        </row>
        <row r="110">
          <cell r="Q110" t="str">
            <v>Jamaica</v>
          </cell>
        </row>
        <row r="111">
          <cell r="Q111" t="str">
            <v>Japan</v>
          </cell>
        </row>
        <row r="112">
          <cell r="Q112" t="str">
            <v>Jersey</v>
          </cell>
        </row>
        <row r="113">
          <cell r="Q113" t="str">
            <v>Jordan</v>
          </cell>
        </row>
        <row r="114">
          <cell r="Q114" t="str">
            <v>Kazakhstan</v>
          </cell>
        </row>
        <row r="115">
          <cell r="Q115" t="str">
            <v>Kenya</v>
          </cell>
        </row>
        <row r="116">
          <cell r="Q116" t="str">
            <v>Kiribati</v>
          </cell>
        </row>
        <row r="117">
          <cell r="Q117" t="str">
            <v>Korea, Democratic People'S Republic Of (North)</v>
          </cell>
        </row>
        <row r="118">
          <cell r="Q118" t="str">
            <v>Korea, Republic Of (South)</v>
          </cell>
        </row>
        <row r="119">
          <cell r="Q119" t="str">
            <v>Kosovo</v>
          </cell>
        </row>
        <row r="120">
          <cell r="Q120" t="str">
            <v>Kuwait</v>
          </cell>
        </row>
        <row r="121">
          <cell r="Q121" t="str">
            <v>Kyrgyzstan</v>
          </cell>
        </row>
        <row r="122">
          <cell r="Q122" t="str">
            <v>Laos</v>
          </cell>
        </row>
        <row r="123">
          <cell r="Q123" t="str">
            <v>Latvia (EEA)</v>
          </cell>
        </row>
        <row r="124">
          <cell r="Q124" t="str">
            <v>Lebanon</v>
          </cell>
        </row>
        <row r="125">
          <cell r="Q125" t="str">
            <v>Lesotho</v>
          </cell>
        </row>
        <row r="126">
          <cell r="Q126" t="str">
            <v>Liberia</v>
          </cell>
        </row>
        <row r="127">
          <cell r="Q127" t="str">
            <v>Libya</v>
          </cell>
        </row>
        <row r="128">
          <cell r="Q128" t="str">
            <v>Liechtenstein</v>
          </cell>
        </row>
        <row r="129">
          <cell r="Q129" t="str">
            <v>Lithuania (EEA)</v>
          </cell>
        </row>
        <row r="130">
          <cell r="Q130" t="str">
            <v>Luxembourg (EEA)</v>
          </cell>
        </row>
        <row r="131">
          <cell r="Q131" t="str">
            <v>Macau</v>
          </cell>
        </row>
        <row r="132">
          <cell r="Q132" t="str">
            <v>Macedonia (The Former Yugoslav Republic Of)</v>
          </cell>
        </row>
        <row r="133">
          <cell r="Q133" t="str">
            <v>Madagascar</v>
          </cell>
        </row>
        <row r="134">
          <cell r="Q134" t="str">
            <v>Malawi</v>
          </cell>
        </row>
        <row r="135">
          <cell r="Q135" t="str">
            <v>Malaysia</v>
          </cell>
        </row>
        <row r="136">
          <cell r="Q136" t="str">
            <v>Maldives</v>
          </cell>
        </row>
        <row r="137">
          <cell r="Q137" t="str">
            <v>Mali</v>
          </cell>
        </row>
        <row r="138">
          <cell r="Q138" t="str">
            <v>Malta (EEA)</v>
          </cell>
        </row>
        <row r="139">
          <cell r="Q139" t="str">
            <v>Marshall Islands</v>
          </cell>
        </row>
        <row r="140">
          <cell r="Q140" t="str">
            <v>Martinique</v>
          </cell>
        </row>
        <row r="141">
          <cell r="Q141" t="str">
            <v>Mauritania</v>
          </cell>
        </row>
        <row r="142">
          <cell r="Q142" t="str">
            <v>Mauritius</v>
          </cell>
        </row>
        <row r="143">
          <cell r="Q143" t="str">
            <v>Mayotte</v>
          </cell>
        </row>
        <row r="144">
          <cell r="Q144" t="str">
            <v>Melilla</v>
          </cell>
        </row>
        <row r="145">
          <cell r="Q145" t="str">
            <v>Mexico</v>
          </cell>
        </row>
        <row r="146">
          <cell r="Q146" t="str">
            <v>Micronesia (Federated States Of)</v>
          </cell>
        </row>
        <row r="147">
          <cell r="Q147" t="str">
            <v>Moldova (The Republic Of)</v>
          </cell>
        </row>
        <row r="148">
          <cell r="Q148" t="str">
            <v>Monaco</v>
          </cell>
        </row>
        <row r="149">
          <cell r="Q149" t="str">
            <v>Mongolia</v>
          </cell>
        </row>
        <row r="150">
          <cell r="Q150" t="str">
            <v>Montenegro</v>
          </cell>
        </row>
        <row r="151">
          <cell r="Q151" t="str">
            <v>Montserrat</v>
          </cell>
        </row>
        <row r="152">
          <cell r="Q152" t="str">
            <v>Morocco</v>
          </cell>
        </row>
        <row r="153">
          <cell r="Q153" t="str">
            <v>Mozambique</v>
          </cell>
        </row>
        <row r="154">
          <cell r="Q154" t="str">
            <v>Myanmar</v>
          </cell>
        </row>
        <row r="155">
          <cell r="Q155" t="str">
            <v>Namibia</v>
          </cell>
        </row>
        <row r="156">
          <cell r="Q156" t="str">
            <v>Nauru</v>
          </cell>
        </row>
        <row r="157">
          <cell r="Q157" t="str">
            <v>Nepal</v>
          </cell>
        </row>
        <row r="158">
          <cell r="Q158" t="str">
            <v>Netherlands (EEA)</v>
          </cell>
        </row>
        <row r="159">
          <cell r="Q159" t="str">
            <v>Netherlands Antilles</v>
          </cell>
        </row>
        <row r="160">
          <cell r="Q160" t="str">
            <v>New Caledonia</v>
          </cell>
        </row>
        <row r="161">
          <cell r="Q161" t="str">
            <v>New Zealand</v>
          </cell>
        </row>
        <row r="162">
          <cell r="Q162" t="str">
            <v>Nicaragua</v>
          </cell>
        </row>
        <row r="163">
          <cell r="Q163" t="str">
            <v>Niger</v>
          </cell>
        </row>
        <row r="164">
          <cell r="Q164" t="str">
            <v>Nigeria</v>
          </cell>
        </row>
        <row r="165">
          <cell r="Q165" t="str">
            <v>Niue</v>
          </cell>
        </row>
        <row r="166">
          <cell r="Q166" t="str">
            <v>Norfolk Island</v>
          </cell>
        </row>
        <row r="167">
          <cell r="Q167" t="str">
            <v>Northern Mariana Islands</v>
          </cell>
        </row>
        <row r="168">
          <cell r="Q168" t="str">
            <v>Norway</v>
          </cell>
        </row>
        <row r="169">
          <cell r="Q169" t="str">
            <v>Oman</v>
          </cell>
        </row>
        <row r="170">
          <cell r="Q170" t="str">
            <v>Pakistan</v>
          </cell>
        </row>
        <row r="171">
          <cell r="Q171" t="str">
            <v>Palau</v>
          </cell>
        </row>
        <row r="172">
          <cell r="Q172" t="str">
            <v>Palestine</v>
          </cell>
        </row>
        <row r="173">
          <cell r="Q173" t="str">
            <v>Panama</v>
          </cell>
        </row>
        <row r="174">
          <cell r="Q174" t="str">
            <v>Papua New Guinea</v>
          </cell>
        </row>
        <row r="175">
          <cell r="Q175" t="str">
            <v>Paraguay</v>
          </cell>
        </row>
        <row r="176">
          <cell r="Q176" t="str">
            <v>Peru</v>
          </cell>
        </row>
        <row r="177">
          <cell r="Q177" t="str">
            <v>Philippines</v>
          </cell>
        </row>
        <row r="178">
          <cell r="Q178" t="str">
            <v>Pitcairn Islands</v>
          </cell>
        </row>
        <row r="179">
          <cell r="Q179" t="str">
            <v>Poland (EEA)</v>
          </cell>
        </row>
        <row r="180">
          <cell r="Q180" t="str">
            <v>Portugal (EEA)</v>
          </cell>
        </row>
        <row r="181">
          <cell r="Q181" t="str">
            <v>Qatar</v>
          </cell>
        </row>
        <row r="182">
          <cell r="Q182" t="str">
            <v>Romania (EEA)</v>
          </cell>
        </row>
        <row r="183">
          <cell r="Q183" t="str">
            <v>Russian Federation</v>
          </cell>
        </row>
        <row r="184">
          <cell r="Q184" t="str">
            <v>Rwanda</v>
          </cell>
        </row>
        <row r="185">
          <cell r="Q185" t="str">
            <v>Saint Barthelemy</v>
          </cell>
        </row>
        <row r="186">
          <cell r="Q186" t="str">
            <v>Saint Helena (Incl Ascension Island And Tristan De Cunha)</v>
          </cell>
        </row>
        <row r="187">
          <cell r="Q187" t="str">
            <v>Saint Kitts And Nevis</v>
          </cell>
        </row>
        <row r="188">
          <cell r="Q188" t="str">
            <v>Saint Lucia</v>
          </cell>
        </row>
        <row r="189">
          <cell r="Q189" t="str">
            <v>Saint Pierre And Miquelon</v>
          </cell>
        </row>
        <row r="190">
          <cell r="Q190" t="str">
            <v>Saint Vincent And The Grenadines</v>
          </cell>
        </row>
        <row r="191">
          <cell r="Q191" t="str">
            <v>Samoa</v>
          </cell>
        </row>
        <row r="192">
          <cell r="Q192" t="str">
            <v>San Marino</v>
          </cell>
        </row>
        <row r="193">
          <cell r="Q193" t="str">
            <v>Sao Tome And Principe</v>
          </cell>
        </row>
        <row r="194">
          <cell r="Q194" t="str">
            <v>Saudi Arabia</v>
          </cell>
        </row>
        <row r="195">
          <cell r="Q195" t="str">
            <v>Senegal</v>
          </cell>
        </row>
        <row r="196">
          <cell r="Q196" t="str">
            <v>Serbia</v>
          </cell>
        </row>
        <row r="197">
          <cell r="Q197" t="str">
            <v>Seychelles</v>
          </cell>
        </row>
        <row r="198">
          <cell r="Q198" t="str">
            <v>Sierra Leone</v>
          </cell>
        </row>
        <row r="199">
          <cell r="Q199" t="str">
            <v>Singapore</v>
          </cell>
        </row>
        <row r="200">
          <cell r="Q200" t="str">
            <v>Slovakia (EEA)</v>
          </cell>
        </row>
        <row r="201">
          <cell r="Q201" t="str">
            <v>Slovenia (EEA)</v>
          </cell>
        </row>
        <row r="202">
          <cell r="Q202" t="str">
            <v>Solomon Islands</v>
          </cell>
        </row>
        <row r="203">
          <cell r="Q203" t="str">
            <v>Somalia</v>
          </cell>
        </row>
        <row r="204">
          <cell r="Q204" t="str">
            <v>South Africa</v>
          </cell>
        </row>
        <row r="205">
          <cell r="Q205" t="str">
            <v>South Georgia And The South Sandwich Islands</v>
          </cell>
        </row>
        <row r="206">
          <cell r="Q206" t="str">
            <v>South Sudan</v>
          </cell>
        </row>
        <row r="207">
          <cell r="Q207" t="str">
            <v>Spain (EEA)</v>
          </cell>
        </row>
        <row r="208">
          <cell r="Q208" t="str">
            <v>Sri Lanka</v>
          </cell>
        </row>
        <row r="209">
          <cell r="Q209" t="str">
            <v>Sudan</v>
          </cell>
        </row>
        <row r="210">
          <cell r="Q210" t="str">
            <v>Suriname</v>
          </cell>
        </row>
        <row r="211">
          <cell r="Q211" t="str">
            <v>Svalbard</v>
          </cell>
        </row>
        <row r="212">
          <cell r="Q212" t="str">
            <v>Swaziland</v>
          </cell>
        </row>
        <row r="213">
          <cell r="Q213" t="str">
            <v>Sweden (EEA)</v>
          </cell>
        </row>
        <row r="214">
          <cell r="Q214" t="str">
            <v>Switzerland</v>
          </cell>
        </row>
        <row r="215">
          <cell r="Q215" t="str">
            <v>Syria</v>
          </cell>
        </row>
        <row r="216">
          <cell r="Q216" t="str">
            <v>Taiwan</v>
          </cell>
        </row>
        <row r="217">
          <cell r="Q217" t="str">
            <v>Tajikistan</v>
          </cell>
        </row>
        <row r="218">
          <cell r="Q218" t="str">
            <v>Tanzania</v>
          </cell>
        </row>
        <row r="219">
          <cell r="Q219" t="str">
            <v>Thailand</v>
          </cell>
        </row>
        <row r="220">
          <cell r="Q220" t="str">
            <v>Timor Leste</v>
          </cell>
        </row>
        <row r="221">
          <cell r="Q221" t="str">
            <v>Togo</v>
          </cell>
        </row>
        <row r="222">
          <cell r="Q222" t="str">
            <v>Tokelau</v>
          </cell>
        </row>
        <row r="223">
          <cell r="Q223" t="str">
            <v>Tonga</v>
          </cell>
        </row>
        <row r="224">
          <cell r="Q224" t="str">
            <v>Trinidad And Tobago</v>
          </cell>
        </row>
        <row r="225">
          <cell r="Q225" t="str">
            <v>Tunisia</v>
          </cell>
        </row>
        <row r="226">
          <cell r="Q226" t="str">
            <v>Turkey</v>
          </cell>
        </row>
        <row r="227">
          <cell r="Q227" t="str">
            <v>Turkmenistan</v>
          </cell>
        </row>
        <row r="228">
          <cell r="Q228" t="str">
            <v>Turks And Caicos Islands</v>
          </cell>
        </row>
        <row r="229">
          <cell r="Q229" t="str">
            <v>Tuvalu</v>
          </cell>
        </row>
        <row r="230">
          <cell r="Q230" t="str">
            <v>Uganda</v>
          </cell>
        </row>
        <row r="231">
          <cell r="Q231" t="str">
            <v>UK &amp; NI</v>
          </cell>
        </row>
        <row r="232">
          <cell r="Q232" t="str">
            <v>Ukraine</v>
          </cell>
        </row>
        <row r="233">
          <cell r="Q233" t="str">
            <v>United Arab Emirates</v>
          </cell>
        </row>
        <row r="234">
          <cell r="Q234" t="str">
            <v>United States</v>
          </cell>
        </row>
        <row r="235">
          <cell r="Q235" t="str">
            <v>United States Minor Outlying Islands</v>
          </cell>
        </row>
        <row r="236">
          <cell r="Q236" t="str">
            <v>Uruguay</v>
          </cell>
        </row>
        <row r="237">
          <cell r="Q237" t="str">
            <v>Uzbekistan</v>
          </cell>
        </row>
        <row r="238">
          <cell r="Q238" t="str">
            <v>Vanuatu</v>
          </cell>
        </row>
        <row r="239">
          <cell r="Q239" t="str">
            <v>Vatican City State (Holy See)</v>
          </cell>
        </row>
        <row r="240">
          <cell r="Q240" t="str">
            <v>Venezuela</v>
          </cell>
        </row>
        <row r="241">
          <cell r="Q241" t="str">
            <v>Vietnam</v>
          </cell>
        </row>
        <row r="242">
          <cell r="Q242" t="str">
            <v>Virgin Islands (British)</v>
          </cell>
        </row>
        <row r="243">
          <cell r="Q243" t="str">
            <v>Virgin Islands (U.S.)</v>
          </cell>
        </row>
        <row r="244">
          <cell r="Q244" t="str">
            <v>Yemen</v>
          </cell>
        </row>
        <row r="245">
          <cell r="Q245" t="str">
            <v>Zambia</v>
          </cell>
        </row>
        <row r="246">
          <cell r="Q246" t="str">
            <v>Zimbabwe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ver"/>
      <sheetName val="1. Applicant Firm Details"/>
      <sheetName val="2. Shareholdings &amp; Management"/>
      <sheetName val="3. AML CFT FS Goverance"/>
      <sheetName val="4. ML.TF Risk Profile"/>
      <sheetName val="5. Risk Based Approach"/>
      <sheetName val="Declarations - Complete All"/>
      <sheetName val="Glossary"/>
      <sheetName val="Documentation Checklist "/>
      <sheetName val="Business Plan"/>
      <sheetName val="Required Documentation"/>
    </sheetNames>
    <sheetDataSet>
      <sheetData sheetId="0">
        <row r="2">
          <cell r="A2" t="str">
            <v>Daily</v>
          </cell>
          <cell r="C2" t="str">
            <v>Daily</v>
          </cell>
          <cell r="I2" t="str">
            <v>Yes</v>
          </cell>
          <cell r="K2" t="str">
            <v>Ultra High</v>
          </cell>
          <cell r="O2" t="str">
            <v>Austria</v>
          </cell>
          <cell r="V2" t="str">
            <v>PCF-1 Executive director</v>
          </cell>
          <cell r="AB2">
            <v>1</v>
          </cell>
          <cell r="AF2" t="str">
            <v>Group related party</v>
          </cell>
          <cell r="AN2" t="str">
            <v>Shareholder</v>
          </cell>
          <cell r="AP2" t="str">
            <v>Indirect Shareholder</v>
          </cell>
        </row>
        <row r="3">
          <cell r="A3" t="str">
            <v>Weekly</v>
          </cell>
          <cell r="C3" t="str">
            <v>Weekly</v>
          </cell>
          <cell r="I3" t="str">
            <v>No</v>
          </cell>
          <cell r="K3" t="str">
            <v>High</v>
          </cell>
          <cell r="O3" t="str">
            <v>Belgium</v>
          </cell>
          <cell r="V3" t="str">
            <v>PCF-2 Non-executive director</v>
          </cell>
          <cell r="AB3">
            <v>2</v>
          </cell>
          <cell r="AF3" t="str">
            <v>Non group related party</v>
          </cell>
          <cell r="AN3" t="str">
            <v>Partner</v>
          </cell>
          <cell r="AP3" t="str">
            <v>Partner</v>
          </cell>
          <cell r="CA3" t="str">
            <v>FALSE FALSE FALSE</v>
          </cell>
          <cell r="CB3">
            <v>0</v>
          </cell>
          <cell r="CC3">
            <v>0</v>
          </cell>
          <cell r="CE3" t="str">
            <v>FALSE FALSE FALSE</v>
          </cell>
          <cell r="CF3">
            <v>0</v>
          </cell>
          <cell r="CG3">
            <v>1</v>
          </cell>
        </row>
        <row r="4">
          <cell r="A4" t="str">
            <v>Monthly</v>
          </cell>
          <cell r="C4" t="str">
            <v>Monthly</v>
          </cell>
          <cell r="K4" t="str">
            <v>Medium High</v>
          </cell>
          <cell r="O4" t="str">
            <v>Bulgaria</v>
          </cell>
          <cell r="V4" t="str">
            <v>PCF-3 Chairman of the board</v>
          </cell>
          <cell r="AB4">
            <v>3</v>
          </cell>
          <cell r="AP4" t="str">
            <v>Member</v>
          </cell>
          <cell r="CA4" t="str">
            <v>TRUE FALSE FALSE</v>
          </cell>
          <cell r="CB4" t="str">
            <v>Yes</v>
          </cell>
          <cell r="CC4">
            <v>0</v>
          </cell>
          <cell r="CE4" t="str">
            <v>TRUE FALSE FALSE</v>
          </cell>
          <cell r="CF4" t="str">
            <v>Yes</v>
          </cell>
          <cell r="CG4">
            <v>0</v>
          </cell>
        </row>
        <row r="5">
          <cell r="A5" t="str">
            <v>Quarterly</v>
          </cell>
          <cell r="C5" t="str">
            <v>Quarterly</v>
          </cell>
          <cell r="K5" t="str">
            <v>Medium Low</v>
          </cell>
          <cell r="O5" t="str">
            <v>Croatia</v>
          </cell>
          <cell r="V5" t="str">
            <v>PCF-4 Chairman of the audit committee</v>
          </cell>
          <cell r="AB5">
            <v>4</v>
          </cell>
          <cell r="CA5" t="str">
            <v>FALSE TRUE FALSE</v>
          </cell>
          <cell r="CB5" t="str">
            <v>No</v>
          </cell>
          <cell r="CC5">
            <v>0</v>
          </cell>
          <cell r="CE5" t="str">
            <v>FALSE TRUE FALSE</v>
          </cell>
          <cell r="CF5" t="str">
            <v>No</v>
          </cell>
          <cell r="CG5">
            <v>0</v>
          </cell>
        </row>
        <row r="6">
          <cell r="A6" t="str">
            <v>Half Yearly</v>
          </cell>
          <cell r="C6" t="str">
            <v>Half Yearly</v>
          </cell>
          <cell r="K6" t="str">
            <v>Low</v>
          </cell>
          <cell r="O6" t="str">
            <v>Cyprus (Republic of)</v>
          </cell>
          <cell r="V6" t="str">
            <v>PCF-5 Chairman of the risk committee</v>
          </cell>
          <cell r="AB6">
            <v>5</v>
          </cell>
          <cell r="CA6" t="str">
            <v>FALSE FALSE TRUE</v>
          </cell>
          <cell r="CB6" t="str">
            <v>Incomplete</v>
          </cell>
          <cell r="CC6">
            <v>0</v>
          </cell>
          <cell r="CE6" t="str">
            <v>FALSE FALSE TRUE</v>
          </cell>
          <cell r="CF6" t="str">
            <v>N/A</v>
          </cell>
          <cell r="CG6">
            <v>0</v>
          </cell>
        </row>
        <row r="7">
          <cell r="A7" t="str">
            <v>Annually</v>
          </cell>
          <cell r="C7" t="str">
            <v>Annually</v>
          </cell>
          <cell r="K7" t="str">
            <v>RA not completed</v>
          </cell>
          <cell r="O7" t="str">
            <v>Czech Republic</v>
          </cell>
          <cell r="V7" t="str">
            <v>PCF-6 Chairman of the remuneration committee</v>
          </cell>
          <cell r="AB7" t="str">
            <v>N/A</v>
          </cell>
          <cell r="CA7" t="str">
            <v>TRUE TRUE TRUE</v>
          </cell>
          <cell r="CB7" t="str">
            <v>Invalid Input</v>
          </cell>
          <cell r="CC7">
            <v>1</v>
          </cell>
          <cell r="CE7" t="str">
            <v>TRUE TRUE TRUE</v>
          </cell>
          <cell r="CF7" t="str">
            <v>Please select only one option</v>
          </cell>
          <cell r="CG7">
            <v>1</v>
          </cell>
        </row>
        <row r="8">
          <cell r="A8" t="str">
            <v>Other (Please state below)</v>
          </cell>
          <cell r="C8" t="str">
            <v>Ad Hoc</v>
          </cell>
          <cell r="O8" t="str">
            <v>Denmark</v>
          </cell>
          <cell r="V8" t="str">
            <v>PCF-7 Chairman of the nomination committee</v>
          </cell>
          <cell r="CA8" t="str">
            <v>TRUE TRUE FALSE</v>
          </cell>
          <cell r="CB8" t="str">
            <v>Invalid Input</v>
          </cell>
          <cell r="CC8">
            <v>1</v>
          </cell>
          <cell r="CE8" t="str">
            <v>TRUE TRUE FALSE</v>
          </cell>
          <cell r="CF8" t="str">
            <v>Please select only one option</v>
          </cell>
          <cell r="CG8">
            <v>1</v>
          </cell>
        </row>
        <row r="9">
          <cell r="O9" t="str">
            <v>Estonia</v>
          </cell>
          <cell r="V9" t="str">
            <v>PCF-8 Chief executive</v>
          </cell>
          <cell r="CA9" t="str">
            <v>TRUE FALSE TRUE</v>
          </cell>
          <cell r="CB9" t="str">
            <v>Invalid Input</v>
          </cell>
          <cell r="CC9">
            <v>1</v>
          </cell>
          <cell r="CE9" t="str">
            <v>TRUE FALSE TRUE</v>
          </cell>
          <cell r="CF9" t="str">
            <v>Please select only one option</v>
          </cell>
          <cell r="CG9">
            <v>1</v>
          </cell>
        </row>
        <row r="10">
          <cell r="O10" t="str">
            <v>Finland</v>
          </cell>
          <cell r="V10" t="str">
            <v>PCF-9 Member of partnership</v>
          </cell>
          <cell r="CA10" t="str">
            <v>FALSE TRUE TRUE</v>
          </cell>
          <cell r="CB10" t="str">
            <v>Invalid Input</v>
          </cell>
          <cell r="CC10">
            <v>1</v>
          </cell>
          <cell r="CE10" t="str">
            <v>FALSE TRUE TRUE</v>
          </cell>
          <cell r="CF10" t="str">
            <v>Please select only one option</v>
          </cell>
          <cell r="CG10">
            <v>1</v>
          </cell>
        </row>
        <row r="11">
          <cell r="O11" t="str">
            <v>France</v>
          </cell>
          <cell r="V11" t="str">
            <v>PCF-10 Sole Trader</v>
          </cell>
        </row>
        <row r="12">
          <cell r="O12" t="str">
            <v>Germany</v>
          </cell>
          <cell r="V12" t="str">
            <v>PCF-11 Head of Finance</v>
          </cell>
        </row>
        <row r="13">
          <cell r="O13" t="str">
            <v>Greece</v>
          </cell>
          <cell r="V13" t="str">
            <v>PCF-12 Head of Compliance</v>
          </cell>
        </row>
        <row r="14">
          <cell r="O14" t="str">
            <v>Hungary</v>
          </cell>
          <cell r="V14" t="str">
            <v>PCF-13 Head of Internal Audit</v>
          </cell>
        </row>
        <row r="15">
          <cell r="O15" t="str">
            <v xml:space="preserve">Iceland </v>
          </cell>
          <cell r="V15" t="str">
            <v>PCF-14 Chief Risk Officer</v>
          </cell>
        </row>
        <row r="16">
          <cell r="O16" t="str">
            <v>Italy</v>
          </cell>
          <cell r="V16" t="str">
            <v>PCF-15 Head of Compliance with responsibility for Anti-Money Laundering and Counter Terrorist Financing Legislation</v>
          </cell>
        </row>
        <row r="17">
          <cell r="O17" t="str">
            <v>Latvia</v>
          </cell>
          <cell r="V17" t="str">
            <v>PCF-16 Branch Manager of branches in other EEA countries</v>
          </cell>
        </row>
        <row r="18">
          <cell r="O18" t="str">
            <v xml:space="preserve">Liechtenstein </v>
          </cell>
          <cell r="V18" t="str">
            <v>PCF-17 Head of Retail Sales</v>
          </cell>
        </row>
        <row r="19">
          <cell r="O19" t="str">
            <v>Lithuania</v>
          </cell>
          <cell r="V19" t="str">
            <v>PCF-42 Chief Operating Officer</v>
          </cell>
        </row>
        <row r="20">
          <cell r="O20" t="str">
            <v>Luxembourg</v>
          </cell>
          <cell r="V20" t="str">
            <v>PCF-18 Head of Underwriting</v>
          </cell>
        </row>
        <row r="21">
          <cell r="O21" t="str">
            <v>Malta</v>
          </cell>
          <cell r="V21" t="str">
            <v>PCF-19 Head of Investment</v>
          </cell>
        </row>
        <row r="22">
          <cell r="O22" t="str">
            <v>Netherlands</v>
          </cell>
          <cell r="V22" t="str">
            <v>PCF-43 Head of Claims</v>
          </cell>
        </row>
        <row r="23">
          <cell r="O23" t="str">
            <v xml:space="preserve">Norway </v>
          </cell>
          <cell r="V23" t="str">
            <v>PCF-48 Head of Actuarial Function</v>
          </cell>
        </row>
        <row r="24">
          <cell r="O24" t="str">
            <v>Poland</v>
          </cell>
          <cell r="V24" t="str">
            <v>PCF-21 Head of Treasury</v>
          </cell>
        </row>
        <row r="25">
          <cell r="O25" t="str">
            <v>Portugal</v>
          </cell>
          <cell r="V25" t="str">
            <v>PCF-22 Head of Credit</v>
          </cell>
        </row>
        <row r="26">
          <cell r="O26" t="str">
            <v>Romania</v>
          </cell>
          <cell r="V26" t="str">
            <v>PCF-23 Head of Asset and Liability Management</v>
          </cell>
        </row>
        <row r="27">
          <cell r="O27" t="str">
            <v>Slovakia</v>
          </cell>
          <cell r="V27" t="str">
            <v>PCF-24 Head of Traded Markets</v>
          </cell>
        </row>
        <row r="28">
          <cell r="O28" t="str">
            <v>Slovenia</v>
          </cell>
          <cell r="V28" t="str">
            <v>PCF-25 Head of International Primary Markets</v>
          </cell>
        </row>
        <row r="29">
          <cell r="O29" t="str">
            <v>Spain</v>
          </cell>
          <cell r="V29" t="str">
            <v>PCF-26 Head of Regulation</v>
          </cell>
        </row>
        <row r="30">
          <cell r="O30" t="str">
            <v>Sweden</v>
          </cell>
          <cell r="V30" t="str">
            <v>PCF-27 Head of Operations</v>
          </cell>
        </row>
        <row r="31">
          <cell r="O31" t="str">
            <v>Switzerland (Non-EEA)</v>
          </cell>
          <cell r="V31" t="str">
            <v>PCF-28 Branch Managers in Ireland</v>
          </cell>
        </row>
        <row r="32">
          <cell r="O32" t="str">
            <v>Gibraltar (Non-EEA)</v>
          </cell>
          <cell r="V32" t="str">
            <v>PCF-29 Head of Trading</v>
          </cell>
        </row>
        <row r="33">
          <cell r="V33" t="str">
            <v>PCF-30 Chief Investment Officer</v>
          </cell>
        </row>
        <row r="34">
          <cell r="V34" t="str">
            <v>PCF-31 Head of Investment</v>
          </cell>
        </row>
        <row r="35">
          <cell r="V35" t="str">
            <v>PCF-45 Head of Client Asset Oversight</v>
          </cell>
        </row>
        <row r="36">
          <cell r="V36" t="str">
            <v>PCF-32 Branch Managers in Ireland</v>
          </cell>
        </row>
        <row r="37">
          <cell r="V37" t="str">
            <v>PCF-33 Head of Transfer Agency</v>
          </cell>
        </row>
        <row r="38">
          <cell r="V38" t="str">
            <v>PCF-34 Head of Accounting (Valuations)</v>
          </cell>
        </row>
        <row r="39">
          <cell r="V39" t="str">
            <v>PCF-35 Head of Trustee Services</v>
          </cell>
        </row>
        <row r="40">
          <cell r="V40" t="str">
            <v>PCF-36 Head of Custody Services</v>
          </cell>
        </row>
        <row r="41">
          <cell r="V41" t="str">
            <v>PCF-37 Head of Transfer Agency</v>
          </cell>
        </row>
        <row r="42">
          <cell r="V42" t="str">
            <v>PCF-38 Head of Accounting Valuations</v>
          </cell>
        </row>
        <row r="43">
          <cell r="V43" t="str">
            <v>PCF-39 Designated Person to whom a director of a UCITS Self Managed Investment Company or Non UCITS Self Managed Investment Company or Management Company may delegate the performance of the management functions</v>
          </cell>
        </row>
        <row r="44">
          <cell r="V44" t="str">
            <v>PCF-46 Head of Investor Money Oversight</v>
          </cell>
        </row>
        <row r="45">
          <cell r="V45" t="str">
            <v>PCF-40 Branch Managers within the State</v>
          </cell>
        </row>
        <row r="46">
          <cell r="V46" t="str">
            <v>PCF-47 Head of Credit</v>
          </cell>
        </row>
        <row r="47">
          <cell r="V47" t="str">
            <v>PCF-41 Manager of a branch in Ireland of a regulated financial service provider established in a country that is not an EEA country</v>
          </cell>
        </row>
        <row r="48">
          <cell r="V48" t="str">
            <v>N/A</v>
          </cell>
        </row>
      </sheetData>
      <sheetData sheetId="1"/>
      <sheetData sheetId="2"/>
      <sheetData sheetId="3">
        <row r="16">
          <cell r="S16" t="str">
            <v>Invalid</v>
          </cell>
        </row>
      </sheetData>
      <sheetData sheetId="4">
        <row r="48">
          <cell r="M48" t="str">
            <v>Invalid</v>
          </cell>
        </row>
      </sheetData>
      <sheetData sheetId="5">
        <row r="16">
          <cell r="M16" t="str">
            <v>Invalid</v>
          </cell>
        </row>
      </sheetData>
      <sheetData sheetId="6">
        <row r="14">
          <cell r="M14">
            <v>0</v>
          </cell>
        </row>
      </sheetData>
      <sheetData sheetId="7">
        <row r="26">
          <cell r="P26" t="str">
            <v>Invalid</v>
          </cell>
        </row>
      </sheetData>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Tab"/>
      <sheetName val="1. Firm Details_Old"/>
      <sheetName val="Control"/>
      <sheetName val="1. Firm Details old"/>
      <sheetName val="Cover"/>
      <sheetName val="1. Firm Details"/>
      <sheetName val="2. Shareholdings &amp; Management"/>
      <sheetName val="Required Documentation"/>
      <sheetName val="Business Plan"/>
      <sheetName val="3. AML&amp;CFT Goverance"/>
      <sheetName val="4. Firm ML.TF Risk Profile"/>
      <sheetName val="5. Risk Based Approach"/>
      <sheetName val="Declarations - Complete All"/>
      <sheetName val="Registration Document Checklist"/>
      <sheetName val="2. Establish Goverance"/>
      <sheetName val="5. Wire Transfers (2)"/>
      <sheetName val="Output"/>
      <sheetName val="Glossary"/>
      <sheetName val="Additonal Information"/>
      <sheetName val="6.Report Management Information"/>
      <sheetName val="7. REQ Completed by"/>
      <sheetName val="8. Completion Notes"/>
    </sheetNames>
    <sheetDataSet>
      <sheetData sheetId="0" refreshError="1"/>
      <sheetData sheetId="1" refreshError="1"/>
      <sheetData sheetId="2" refreshError="1">
        <row r="2">
          <cell r="M2" t="str">
            <v>Co. Antrim</v>
          </cell>
          <cell r="S2" t="str">
            <v>Sole trader</v>
          </cell>
        </row>
        <row r="3">
          <cell r="S3" t="str">
            <v>Private limited company</v>
          </cell>
          <cell r="CE3" t="str">
            <v>FALSE FALSE FALSE</v>
          </cell>
          <cell r="CF3">
            <v>0</v>
          </cell>
          <cell r="CG3">
            <v>1</v>
          </cell>
        </row>
        <row r="4">
          <cell r="S4" t="str">
            <v>Partnership</v>
          </cell>
          <cell r="CE4" t="str">
            <v>TRUE FALSE FALSE</v>
          </cell>
          <cell r="CF4" t="str">
            <v>Yes</v>
          </cell>
          <cell r="CG4">
            <v>0</v>
          </cell>
        </row>
        <row r="5">
          <cell r="S5" t="str">
            <v>Limited liability partnership</v>
          </cell>
          <cell r="CE5" t="str">
            <v>FALSE TRUE FALSE</v>
          </cell>
          <cell r="CF5" t="str">
            <v>No</v>
          </cell>
          <cell r="CG5">
            <v>0</v>
          </cell>
        </row>
        <row r="6">
          <cell r="S6" t="str">
            <v>Public limited company</v>
          </cell>
          <cell r="CE6" t="str">
            <v>FALSE FALSE TRUE</v>
          </cell>
          <cell r="CF6" t="str">
            <v>N/A</v>
          </cell>
          <cell r="CG6">
            <v>0</v>
          </cell>
        </row>
        <row r="7">
          <cell r="S7" t="str">
            <v>Limited partnership</v>
          </cell>
          <cell r="CE7" t="str">
            <v>TRUE TRUE TRUE</v>
          </cell>
          <cell r="CF7" t="str">
            <v>Invalid Input</v>
          </cell>
          <cell r="CG7">
            <v>1</v>
          </cell>
        </row>
        <row r="8">
          <cell r="S8" t="str">
            <v>Unincorporated association</v>
          </cell>
          <cell r="CE8" t="str">
            <v>TRUE TRUE FALSE</v>
          </cell>
          <cell r="CF8" t="str">
            <v>Invalid Input</v>
          </cell>
          <cell r="CG8">
            <v>1</v>
          </cell>
        </row>
        <row r="9">
          <cell r="S9" t="str">
            <v>Special purpose vehicle</v>
          </cell>
          <cell r="CE9" t="str">
            <v>TRUE FALSE TRUE</v>
          </cell>
          <cell r="CF9" t="str">
            <v>Invalid Input</v>
          </cell>
          <cell r="CG9">
            <v>1</v>
          </cell>
        </row>
        <row r="10">
          <cell r="S10" t="str">
            <v>Foreign entity - give details</v>
          </cell>
          <cell r="CE10" t="str">
            <v>FALSE TRUE TRUE</v>
          </cell>
          <cell r="CF10" t="str">
            <v>Invalid Input</v>
          </cell>
          <cell r="CG10">
            <v>1</v>
          </cell>
        </row>
        <row r="11">
          <cell r="S11" t="str">
            <v>Other, please specify</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ver"/>
      <sheetName val="Notes on Completion"/>
      <sheetName val="Section 1"/>
      <sheetName val="Section 2"/>
      <sheetName val="Section 3"/>
      <sheetName val="Section 4"/>
      <sheetName val="Section 5"/>
      <sheetName val="Section 6"/>
      <sheetName val="Section 7"/>
      <sheetName val="Section 8"/>
      <sheetName val="Section 9"/>
      <sheetName val="10. Declarations"/>
      <sheetName val="10. Declarations (2)"/>
    </sheetNames>
    <sheetDataSet>
      <sheetData sheetId="0">
        <row r="2">
          <cell r="A2" t="str">
            <v>Co. Antrim</v>
          </cell>
          <cell r="C2" t="str">
            <v>Sole trader</v>
          </cell>
          <cell r="E2" t="str">
            <v>Private limited company</v>
          </cell>
          <cell r="G2" t="str">
            <v>Austria</v>
          </cell>
          <cell r="I2" t="str">
            <v>Afghanistan</v>
          </cell>
          <cell r="V2" t="str">
            <v>Passport</v>
          </cell>
          <cell r="X2" t="str">
            <v>FALSE FALSE FALSE</v>
          </cell>
          <cell r="Y2" t="str">
            <v/>
          </cell>
          <cell r="AA2" t="str">
            <v>FALSE FALSE FALSE</v>
          </cell>
          <cell r="AB2">
            <v>0</v>
          </cell>
          <cell r="AC2">
            <v>1</v>
          </cell>
          <cell r="AK2">
            <v>1</v>
          </cell>
          <cell r="AM2">
            <v>1</v>
          </cell>
          <cell r="AO2">
            <v>0</v>
          </cell>
        </row>
        <row r="3">
          <cell r="A3" t="str">
            <v>Co. Armagh</v>
          </cell>
          <cell r="C3" t="str">
            <v>Private limited company</v>
          </cell>
          <cell r="E3" t="str">
            <v>Partnership</v>
          </cell>
          <cell r="G3" t="str">
            <v>Belgium</v>
          </cell>
          <cell r="I3" t="str">
            <v>Albania</v>
          </cell>
          <cell r="V3" t="str">
            <v>Drivers Licence</v>
          </cell>
          <cell r="X3" t="str">
            <v>TRUE FALSE FALSE</v>
          </cell>
          <cell r="Y3" t="str">
            <v>Yes</v>
          </cell>
          <cell r="AA3" t="str">
            <v>TRUE FALSE FALSE</v>
          </cell>
          <cell r="AB3" t="str">
            <v>Yes</v>
          </cell>
          <cell r="AC3">
            <v>0</v>
          </cell>
          <cell r="AK3">
            <v>2</v>
          </cell>
          <cell r="AM3">
            <v>2</v>
          </cell>
          <cell r="AO3">
            <v>1</v>
          </cell>
        </row>
        <row r="4">
          <cell r="A4" t="str">
            <v>Co. Carlow</v>
          </cell>
          <cell r="C4" t="str">
            <v>Partnership</v>
          </cell>
          <cell r="E4" t="str">
            <v>Designated Activity Company</v>
          </cell>
          <cell r="G4" t="str">
            <v>Bulgaria</v>
          </cell>
          <cell r="I4" t="str">
            <v>Algeria</v>
          </cell>
          <cell r="V4" t="str">
            <v>Other</v>
          </cell>
          <cell r="X4" t="str">
            <v>FALSE TRUE FALSE</v>
          </cell>
          <cell r="Y4" t="str">
            <v>No</v>
          </cell>
          <cell r="AA4" t="str">
            <v>FALSE TRUE FALSE</v>
          </cell>
          <cell r="AB4" t="str">
            <v>No</v>
          </cell>
          <cell r="AC4">
            <v>0</v>
          </cell>
          <cell r="AK4">
            <v>3</v>
          </cell>
          <cell r="AM4">
            <v>3</v>
          </cell>
          <cell r="AO4">
            <v>2</v>
          </cell>
        </row>
        <row r="5">
          <cell r="A5" t="str">
            <v>Co. Cavan</v>
          </cell>
          <cell r="C5" t="str">
            <v>Designated Activity Company</v>
          </cell>
          <cell r="E5" t="str">
            <v>Limited liability partnership</v>
          </cell>
          <cell r="G5" t="str">
            <v>Croatia</v>
          </cell>
          <cell r="I5" t="str">
            <v>American Samoa</v>
          </cell>
          <cell r="V5" t="str">
            <v>No Identification Avaliable</v>
          </cell>
          <cell r="X5" t="str">
            <v>FALSE FALSE TRUE</v>
          </cell>
          <cell r="Y5" t="str">
            <v>N/A</v>
          </cell>
          <cell r="AA5" t="str">
            <v>FALSE FALSE TRUE</v>
          </cell>
          <cell r="AB5" t="str">
            <v>N/A</v>
          </cell>
          <cell r="AC5">
            <v>0</v>
          </cell>
          <cell r="AK5">
            <v>4</v>
          </cell>
          <cell r="AM5">
            <v>4</v>
          </cell>
          <cell r="AO5">
            <v>3</v>
          </cell>
        </row>
        <row r="6">
          <cell r="A6" t="str">
            <v>Co. Clare</v>
          </cell>
          <cell r="C6" t="str">
            <v>Limited liability partnership</v>
          </cell>
          <cell r="E6" t="str">
            <v>Public limited company</v>
          </cell>
          <cell r="G6" t="str">
            <v>Cyprus (Republic of)</v>
          </cell>
          <cell r="I6" t="str">
            <v>Andorra</v>
          </cell>
          <cell r="X6" t="str">
            <v>TRUE TRUE TRUE</v>
          </cell>
          <cell r="Y6" t="str">
            <v>Invalid Input</v>
          </cell>
          <cell r="AA6" t="str">
            <v>TRUE TRUE TRUE</v>
          </cell>
          <cell r="AB6" t="str">
            <v>Invalid Input</v>
          </cell>
          <cell r="AC6">
            <v>1</v>
          </cell>
          <cell r="AK6">
            <v>5</v>
          </cell>
          <cell r="AM6">
            <v>5</v>
          </cell>
          <cell r="AO6">
            <v>4</v>
          </cell>
        </row>
        <row r="7">
          <cell r="A7" t="str">
            <v>Co. Cork</v>
          </cell>
          <cell r="C7" t="str">
            <v>Public limited company</v>
          </cell>
          <cell r="E7" t="str">
            <v>Limited partnership</v>
          </cell>
          <cell r="G7" t="str">
            <v>Czech Republic</v>
          </cell>
          <cell r="I7" t="str">
            <v>Angola</v>
          </cell>
          <cell r="X7" t="str">
            <v>TRUE TRUE FALSE</v>
          </cell>
          <cell r="Y7" t="str">
            <v>Invalid Input</v>
          </cell>
          <cell r="AA7" t="str">
            <v>TRUE TRUE FALSE</v>
          </cell>
          <cell r="AB7" t="str">
            <v>Invalid Input</v>
          </cell>
          <cell r="AC7">
            <v>1</v>
          </cell>
          <cell r="AK7">
            <v>6</v>
          </cell>
          <cell r="AM7" t="str">
            <v>5+</v>
          </cell>
          <cell r="AO7">
            <v>5</v>
          </cell>
        </row>
        <row r="8">
          <cell r="A8" t="str">
            <v>Co. Derry</v>
          </cell>
          <cell r="C8" t="str">
            <v>Limited partnership</v>
          </cell>
          <cell r="E8" t="str">
            <v>Special purpose vehicle</v>
          </cell>
          <cell r="G8" t="str">
            <v>Denmark</v>
          </cell>
          <cell r="I8" t="str">
            <v>Anguilla</v>
          </cell>
          <cell r="X8" t="str">
            <v>TRUE FALSE TRUE</v>
          </cell>
          <cell r="Y8" t="str">
            <v>Invalid Input</v>
          </cell>
          <cell r="AA8" t="str">
            <v>TRUE FALSE TRUE</v>
          </cell>
          <cell r="AB8" t="str">
            <v>Invalid Input</v>
          </cell>
          <cell r="AC8">
            <v>1</v>
          </cell>
          <cell r="AK8">
            <v>7</v>
          </cell>
          <cell r="AO8">
            <v>6</v>
          </cell>
        </row>
        <row r="9">
          <cell r="A9" t="str">
            <v>Co. Donegal</v>
          </cell>
          <cell r="C9" t="str">
            <v>Unincorporated association</v>
          </cell>
          <cell r="E9" t="str">
            <v>Foreign entity</v>
          </cell>
          <cell r="G9" t="str">
            <v>Estonia</v>
          </cell>
          <cell r="I9" t="str">
            <v>Antarctica</v>
          </cell>
          <cell r="X9" t="str">
            <v>FALSE TRUE TRUE</v>
          </cell>
          <cell r="Y9" t="str">
            <v>Invalid Input</v>
          </cell>
          <cell r="AA9" t="str">
            <v>FALSE TRUE TRUE</v>
          </cell>
          <cell r="AB9" t="str">
            <v>Invalid Input</v>
          </cell>
          <cell r="AC9">
            <v>1</v>
          </cell>
          <cell r="AK9">
            <v>8</v>
          </cell>
          <cell r="AO9">
            <v>7</v>
          </cell>
        </row>
        <row r="10">
          <cell r="A10" t="str">
            <v>Co. Down</v>
          </cell>
          <cell r="C10" t="str">
            <v>Special purpose vehicle</v>
          </cell>
          <cell r="E10" t="str">
            <v>Other</v>
          </cell>
          <cell r="G10" t="str">
            <v>Finland</v>
          </cell>
          <cell r="I10" t="str">
            <v>Antigua And Barbuda</v>
          </cell>
          <cell r="AK10">
            <v>9</v>
          </cell>
          <cell r="AO10">
            <v>8</v>
          </cell>
        </row>
        <row r="11">
          <cell r="A11" t="str">
            <v>Dublin 1</v>
          </cell>
          <cell r="C11" t="str">
            <v>Foreign entity</v>
          </cell>
          <cell r="G11" t="str">
            <v>France</v>
          </cell>
          <cell r="I11" t="str">
            <v>Argentina</v>
          </cell>
          <cell r="AK11">
            <v>10</v>
          </cell>
          <cell r="AO11">
            <v>9</v>
          </cell>
        </row>
        <row r="12">
          <cell r="A12" t="str">
            <v>Dublin 2</v>
          </cell>
          <cell r="C12" t="str">
            <v>Other</v>
          </cell>
          <cell r="G12" t="str">
            <v>Germany</v>
          </cell>
          <cell r="I12" t="str">
            <v>Armenia</v>
          </cell>
          <cell r="AK12" t="str">
            <v>10+</v>
          </cell>
          <cell r="AO12">
            <v>10</v>
          </cell>
        </row>
        <row r="13">
          <cell r="A13" t="str">
            <v>Dublin 3</v>
          </cell>
          <cell r="G13" t="str">
            <v>Greece</v>
          </cell>
          <cell r="I13" t="str">
            <v>Aruba</v>
          </cell>
          <cell r="AO13" t="str">
            <v>10+</v>
          </cell>
        </row>
        <row r="14">
          <cell r="A14" t="str">
            <v>Dublin 4</v>
          </cell>
          <cell r="G14" t="str">
            <v>Hungary</v>
          </cell>
          <cell r="I14" t="str">
            <v>Australia</v>
          </cell>
        </row>
        <row r="15">
          <cell r="A15" t="str">
            <v>Dublin 5</v>
          </cell>
          <cell r="G15" t="str">
            <v xml:space="preserve">Iceland </v>
          </cell>
          <cell r="I15" t="str">
            <v>Austria (EEA)</v>
          </cell>
        </row>
        <row r="16">
          <cell r="A16" t="str">
            <v xml:space="preserve">Dublin 6 </v>
          </cell>
          <cell r="G16" t="str">
            <v>Italy</v>
          </cell>
          <cell r="I16" t="str">
            <v>Azerbaijan</v>
          </cell>
        </row>
        <row r="17">
          <cell r="A17" t="str">
            <v>Dublin 7</v>
          </cell>
          <cell r="G17" t="str">
            <v>Latvia</v>
          </cell>
          <cell r="I17" t="str">
            <v>Bahamas</v>
          </cell>
        </row>
        <row r="18">
          <cell r="A18" t="str">
            <v>Dublin 6W</v>
          </cell>
          <cell r="G18" t="str">
            <v xml:space="preserve">Liechtenstein </v>
          </cell>
          <cell r="I18" t="str">
            <v>Bahrain</v>
          </cell>
        </row>
        <row r="19">
          <cell r="A19" t="str">
            <v>Dublin 8</v>
          </cell>
          <cell r="G19" t="str">
            <v>Lithuania</v>
          </cell>
          <cell r="I19" t="str">
            <v>Bangladesh</v>
          </cell>
        </row>
        <row r="20">
          <cell r="A20" t="str">
            <v>Dublin 9</v>
          </cell>
          <cell r="G20" t="str">
            <v>Luxembourg</v>
          </cell>
          <cell r="I20" t="str">
            <v>Barbados</v>
          </cell>
        </row>
        <row r="21">
          <cell r="A21" t="str">
            <v xml:space="preserve">Dublin 10 </v>
          </cell>
          <cell r="G21" t="str">
            <v>Malta</v>
          </cell>
          <cell r="I21" t="str">
            <v>Belarus</v>
          </cell>
        </row>
        <row r="22">
          <cell r="A22" t="str">
            <v>Dublin 11</v>
          </cell>
          <cell r="G22" t="str">
            <v>Netherlands</v>
          </cell>
          <cell r="I22" t="str">
            <v>Belgium (EEA)</v>
          </cell>
        </row>
        <row r="23">
          <cell r="A23" t="str">
            <v>Dublin 12</v>
          </cell>
          <cell r="G23" t="str">
            <v xml:space="preserve">Norway </v>
          </cell>
          <cell r="I23" t="str">
            <v>Belize</v>
          </cell>
        </row>
        <row r="24">
          <cell r="A24" t="str">
            <v>Dublin 13</v>
          </cell>
          <cell r="G24" t="str">
            <v>Poland</v>
          </cell>
          <cell r="I24" t="str">
            <v>Benin</v>
          </cell>
        </row>
        <row r="25">
          <cell r="A25" t="str">
            <v>Dublin 14</v>
          </cell>
          <cell r="G25" t="str">
            <v>Portugal</v>
          </cell>
          <cell r="I25" t="str">
            <v>Bermuda</v>
          </cell>
        </row>
        <row r="26">
          <cell r="A26" t="str">
            <v>Dublin 15</v>
          </cell>
          <cell r="G26" t="str">
            <v>Romania</v>
          </cell>
          <cell r="I26" t="str">
            <v>Bhutan</v>
          </cell>
        </row>
        <row r="27">
          <cell r="A27" t="str">
            <v>Dublin 16</v>
          </cell>
          <cell r="G27" t="str">
            <v>Slovakia</v>
          </cell>
          <cell r="I27" t="str">
            <v>Bolivia</v>
          </cell>
        </row>
        <row r="28">
          <cell r="A28" t="str">
            <v>Dublin 17</v>
          </cell>
          <cell r="G28" t="str">
            <v>Slovenia</v>
          </cell>
          <cell r="I28" t="str">
            <v>Bosnia And Herzegovina</v>
          </cell>
        </row>
        <row r="29">
          <cell r="A29" t="str">
            <v>Dublin 18</v>
          </cell>
          <cell r="G29" t="str">
            <v>Spain</v>
          </cell>
          <cell r="I29" t="str">
            <v>Botswana</v>
          </cell>
        </row>
        <row r="30">
          <cell r="A30" t="str">
            <v>Dublin 20</v>
          </cell>
          <cell r="G30" t="str">
            <v>Sweden</v>
          </cell>
          <cell r="I30" t="str">
            <v>Bouvet Island</v>
          </cell>
        </row>
        <row r="31">
          <cell r="A31" t="str">
            <v>Dublin 22</v>
          </cell>
          <cell r="G31" t="str">
            <v>Switzerland (Non-EEA)</v>
          </cell>
          <cell r="I31" t="str">
            <v>Brazil</v>
          </cell>
        </row>
        <row r="32">
          <cell r="A32" t="str">
            <v>Dublin 24</v>
          </cell>
          <cell r="G32" t="str">
            <v>Gibraltar (Non-EEA)</v>
          </cell>
          <cell r="I32" t="str">
            <v>British Indian Ocean Territory</v>
          </cell>
        </row>
        <row r="33">
          <cell r="A33" t="str">
            <v>Co. Dublin</v>
          </cell>
          <cell r="I33" t="str">
            <v>Brunei Darussalam</v>
          </cell>
        </row>
        <row r="34">
          <cell r="A34" t="str">
            <v>Co. Fermanagh</v>
          </cell>
          <cell r="I34" t="str">
            <v xml:space="preserve">Bulgaria (EEA) </v>
          </cell>
        </row>
        <row r="35">
          <cell r="A35" t="str">
            <v>Co. Galway</v>
          </cell>
          <cell r="I35" t="str">
            <v>Burkina Faso</v>
          </cell>
        </row>
        <row r="36">
          <cell r="A36" t="str">
            <v>Co. Kerry</v>
          </cell>
          <cell r="I36" t="str">
            <v>Burma</v>
          </cell>
        </row>
        <row r="37">
          <cell r="A37" t="str">
            <v>Co. Kildare</v>
          </cell>
          <cell r="I37" t="str">
            <v>Burundi</v>
          </cell>
        </row>
        <row r="38">
          <cell r="A38" t="str">
            <v>Co. Kilkenny</v>
          </cell>
          <cell r="I38" t="str">
            <v>Cambodia</v>
          </cell>
        </row>
        <row r="39">
          <cell r="A39" t="str">
            <v>Co. Laois</v>
          </cell>
          <cell r="I39" t="str">
            <v>Cameroon</v>
          </cell>
        </row>
        <row r="40">
          <cell r="A40" t="str">
            <v>Co. Leitrim</v>
          </cell>
          <cell r="I40" t="str">
            <v>Canada</v>
          </cell>
        </row>
        <row r="41">
          <cell r="A41" t="str">
            <v>Co. Limerick</v>
          </cell>
          <cell r="I41" t="str">
            <v>Cape Verde</v>
          </cell>
        </row>
        <row r="42">
          <cell r="A42" t="str">
            <v>Co. Longford</v>
          </cell>
          <cell r="I42" t="str">
            <v>Cayman Islands</v>
          </cell>
        </row>
        <row r="43">
          <cell r="A43" t="str">
            <v>Co. Louth</v>
          </cell>
          <cell r="I43" t="str">
            <v>Central African Republic</v>
          </cell>
        </row>
        <row r="44">
          <cell r="A44" t="str">
            <v>Co. Mayo</v>
          </cell>
          <cell r="I44" t="str">
            <v>Ceuta</v>
          </cell>
        </row>
        <row r="45">
          <cell r="A45" t="str">
            <v>Co. Meath</v>
          </cell>
          <cell r="I45" t="str">
            <v>Chad</v>
          </cell>
        </row>
        <row r="46">
          <cell r="A46" t="str">
            <v>Co. Monaghan</v>
          </cell>
          <cell r="I46" t="str">
            <v>Chile</v>
          </cell>
        </row>
        <row r="47">
          <cell r="A47" t="str">
            <v>Co. Offaly</v>
          </cell>
          <cell r="I47" t="str">
            <v>China</v>
          </cell>
        </row>
        <row r="48">
          <cell r="A48" t="str">
            <v>Co. Roscommon</v>
          </cell>
          <cell r="I48" t="str">
            <v>Christmas Island</v>
          </cell>
        </row>
        <row r="49">
          <cell r="A49" t="str">
            <v>Co. Sligo</v>
          </cell>
          <cell r="I49" t="str">
            <v>Cocos (Keeling) Islands</v>
          </cell>
        </row>
        <row r="50">
          <cell r="A50" t="str">
            <v>Co. Tipperary</v>
          </cell>
          <cell r="I50" t="str">
            <v>Colombia</v>
          </cell>
        </row>
        <row r="51">
          <cell r="A51" t="str">
            <v>Co. Tyrone</v>
          </cell>
          <cell r="I51" t="str">
            <v>Comoros</v>
          </cell>
        </row>
        <row r="52">
          <cell r="A52" t="str">
            <v>Co. Waterford</v>
          </cell>
          <cell r="I52" t="str">
            <v>Congo</v>
          </cell>
        </row>
        <row r="53">
          <cell r="A53" t="str">
            <v>Co. Westmeath</v>
          </cell>
          <cell r="I53" t="str">
            <v>Cook Islands</v>
          </cell>
        </row>
        <row r="54">
          <cell r="A54" t="str">
            <v>Co. Wexford</v>
          </cell>
          <cell r="I54" t="str">
            <v>Costa Rica</v>
          </cell>
        </row>
        <row r="55">
          <cell r="A55" t="str">
            <v>Co. Wicklow</v>
          </cell>
          <cell r="I55" t="str">
            <v>Cote D'Ivoire</v>
          </cell>
        </row>
        <row r="56">
          <cell r="I56" t="str">
            <v>Croatia (EEA)</v>
          </cell>
        </row>
        <row r="57">
          <cell r="I57" t="str">
            <v>Cuba</v>
          </cell>
        </row>
        <row r="58">
          <cell r="I58" t="str">
            <v>Cyprus (Republic of) (EEA)</v>
          </cell>
        </row>
        <row r="59">
          <cell r="I59" t="str">
            <v>Czech Republic (EEA)</v>
          </cell>
        </row>
        <row r="60">
          <cell r="I60" t="str">
            <v>Democratic Republic Of Congo</v>
          </cell>
        </row>
        <row r="61">
          <cell r="I61" t="str">
            <v>Denmark (EEA)</v>
          </cell>
        </row>
        <row r="62">
          <cell r="I62" t="str">
            <v>Djibouti</v>
          </cell>
        </row>
        <row r="63">
          <cell r="I63" t="str">
            <v>Dominica</v>
          </cell>
        </row>
        <row r="64">
          <cell r="I64" t="str">
            <v>Dominican Republic</v>
          </cell>
        </row>
        <row r="65">
          <cell r="I65" t="str">
            <v>Ecuador</v>
          </cell>
        </row>
        <row r="66">
          <cell r="I66" t="str">
            <v>Egypt</v>
          </cell>
        </row>
        <row r="67">
          <cell r="I67" t="str">
            <v>El Salvador</v>
          </cell>
        </row>
        <row r="68">
          <cell r="I68" t="str">
            <v>Equatorial Guinea</v>
          </cell>
        </row>
        <row r="69">
          <cell r="I69" t="str">
            <v>Eritrea</v>
          </cell>
        </row>
        <row r="70">
          <cell r="I70" t="str">
            <v>Estonia (EEA)</v>
          </cell>
        </row>
        <row r="71">
          <cell r="I71" t="str">
            <v>Ethiopia</v>
          </cell>
        </row>
        <row r="72">
          <cell r="I72" t="str">
            <v>Falkland Islands</v>
          </cell>
        </row>
        <row r="73">
          <cell r="I73" t="str">
            <v>Faroe Islands</v>
          </cell>
        </row>
        <row r="74">
          <cell r="I74" t="str">
            <v>Fiji</v>
          </cell>
        </row>
        <row r="75">
          <cell r="I75" t="str">
            <v>Finland (EEA)</v>
          </cell>
        </row>
        <row r="76">
          <cell r="I76" t="str">
            <v>France (EEA)</v>
          </cell>
        </row>
        <row r="77">
          <cell r="I77" t="str">
            <v>French Guiana</v>
          </cell>
        </row>
        <row r="78">
          <cell r="I78" t="str">
            <v>French Polynesia</v>
          </cell>
        </row>
        <row r="79">
          <cell r="I79" t="str">
            <v>French Southern And Antarctic Lands</v>
          </cell>
        </row>
        <row r="80">
          <cell r="I80" t="str">
            <v>Gabon</v>
          </cell>
        </row>
        <row r="81">
          <cell r="I81" t="str">
            <v>Gambia</v>
          </cell>
        </row>
        <row r="82">
          <cell r="I82" t="str">
            <v>Gaza Strip</v>
          </cell>
        </row>
        <row r="83">
          <cell r="I83" t="str">
            <v>Georgia</v>
          </cell>
        </row>
        <row r="84">
          <cell r="I84" t="str">
            <v>Germany (EEA)</v>
          </cell>
        </row>
        <row r="85">
          <cell r="I85" t="str">
            <v>Ghana</v>
          </cell>
        </row>
        <row r="86">
          <cell r="I86" t="str">
            <v>Gibraltar</v>
          </cell>
        </row>
        <row r="87">
          <cell r="I87" t="str">
            <v>Greece (EEA)</v>
          </cell>
        </row>
        <row r="88">
          <cell r="I88" t="str">
            <v>Greenland</v>
          </cell>
        </row>
        <row r="89">
          <cell r="I89" t="str">
            <v>Grenada</v>
          </cell>
        </row>
        <row r="90">
          <cell r="I90" t="str">
            <v>Guadeloupe</v>
          </cell>
        </row>
        <row r="91">
          <cell r="I91" t="str">
            <v>Guam</v>
          </cell>
        </row>
        <row r="92">
          <cell r="I92" t="str">
            <v>Guatemala</v>
          </cell>
        </row>
        <row r="93">
          <cell r="I93" t="str">
            <v>Guernsey</v>
          </cell>
        </row>
        <row r="94">
          <cell r="I94" t="str">
            <v>Guinea</v>
          </cell>
        </row>
        <row r="95">
          <cell r="I95" t="str">
            <v>Guinea-Bissau</v>
          </cell>
        </row>
        <row r="96">
          <cell r="I96" t="str">
            <v>Guyana</v>
          </cell>
        </row>
        <row r="97">
          <cell r="I97" t="str">
            <v>Haiti</v>
          </cell>
        </row>
        <row r="98">
          <cell r="I98" t="str">
            <v>Honduras</v>
          </cell>
        </row>
        <row r="99">
          <cell r="I99" t="str">
            <v>Hong Kong</v>
          </cell>
        </row>
        <row r="100">
          <cell r="I100" t="str">
            <v>Hungary (EEA)</v>
          </cell>
        </row>
        <row r="101">
          <cell r="I101" t="str">
            <v>Iceland</v>
          </cell>
        </row>
        <row r="102">
          <cell r="I102" t="str">
            <v>India</v>
          </cell>
        </row>
        <row r="103">
          <cell r="I103" t="str">
            <v>Indonesia</v>
          </cell>
        </row>
        <row r="104">
          <cell r="I104" t="str">
            <v>Iran</v>
          </cell>
        </row>
        <row r="105">
          <cell r="I105" t="str">
            <v>Iraq</v>
          </cell>
        </row>
        <row r="106">
          <cell r="I106" t="str">
            <v>Ireland</v>
          </cell>
        </row>
        <row r="107">
          <cell r="I107" t="str">
            <v>Isle of Man</v>
          </cell>
        </row>
        <row r="108">
          <cell r="I108" t="str">
            <v>Israel</v>
          </cell>
        </row>
        <row r="109">
          <cell r="I109" t="str">
            <v>Italy (EEA)</v>
          </cell>
        </row>
        <row r="110">
          <cell r="I110" t="str">
            <v>Jamaica</v>
          </cell>
        </row>
        <row r="111">
          <cell r="I111" t="str">
            <v>Japan</v>
          </cell>
        </row>
        <row r="112">
          <cell r="I112" t="str">
            <v>Jersey</v>
          </cell>
        </row>
        <row r="113">
          <cell r="I113" t="str">
            <v>Jordan</v>
          </cell>
        </row>
        <row r="114">
          <cell r="I114" t="str">
            <v>Kazakhstan</v>
          </cell>
        </row>
        <row r="115">
          <cell r="I115" t="str">
            <v>Kenya</v>
          </cell>
        </row>
        <row r="116">
          <cell r="I116" t="str">
            <v>Kiribati</v>
          </cell>
        </row>
        <row r="117">
          <cell r="I117" t="str">
            <v>Korea, Democratic People'S Republic Of (North)</v>
          </cell>
        </row>
        <row r="118">
          <cell r="I118" t="str">
            <v>Korea, Republic Of (South)</v>
          </cell>
        </row>
        <row r="119">
          <cell r="I119" t="str">
            <v>Kosovo</v>
          </cell>
        </row>
        <row r="120">
          <cell r="I120" t="str">
            <v>Kuwait</v>
          </cell>
        </row>
        <row r="121">
          <cell r="I121" t="str">
            <v>Kyrgyzstan</v>
          </cell>
        </row>
        <row r="122">
          <cell r="I122" t="str">
            <v>Laos</v>
          </cell>
        </row>
        <row r="123">
          <cell r="I123" t="str">
            <v>Latvia (EEA)</v>
          </cell>
        </row>
        <row r="124">
          <cell r="I124" t="str">
            <v>Lebanon</v>
          </cell>
        </row>
        <row r="125">
          <cell r="I125" t="str">
            <v>Lesotho</v>
          </cell>
        </row>
        <row r="126">
          <cell r="I126" t="str">
            <v>Liberia</v>
          </cell>
        </row>
        <row r="127">
          <cell r="I127" t="str">
            <v>Libya</v>
          </cell>
        </row>
        <row r="128">
          <cell r="I128" t="str">
            <v>Liechtenstein</v>
          </cell>
        </row>
        <row r="129">
          <cell r="I129" t="str">
            <v>Lithuania (EEA)</v>
          </cell>
        </row>
        <row r="130">
          <cell r="I130" t="str">
            <v>Luxembourg (EEA)</v>
          </cell>
        </row>
        <row r="131">
          <cell r="I131" t="str">
            <v>Macau</v>
          </cell>
        </row>
        <row r="132">
          <cell r="I132" t="str">
            <v>Macedonia (The Former Yugoslav Republic Of)</v>
          </cell>
        </row>
        <row r="133">
          <cell r="I133" t="str">
            <v>Madagascar</v>
          </cell>
        </row>
        <row r="134">
          <cell r="I134" t="str">
            <v>Malawi</v>
          </cell>
        </row>
        <row r="135">
          <cell r="I135" t="str">
            <v>Malaysia</v>
          </cell>
        </row>
        <row r="136">
          <cell r="I136" t="str">
            <v>Maldives</v>
          </cell>
        </row>
        <row r="137">
          <cell r="I137" t="str">
            <v>Mali</v>
          </cell>
        </row>
        <row r="138">
          <cell r="I138" t="str">
            <v>Malta (EEA)</v>
          </cell>
        </row>
        <row r="139">
          <cell r="I139" t="str">
            <v>Marshall Islands</v>
          </cell>
        </row>
        <row r="140">
          <cell r="I140" t="str">
            <v>Martinique</v>
          </cell>
        </row>
        <row r="141">
          <cell r="I141" t="str">
            <v>Mauritania</v>
          </cell>
        </row>
        <row r="142">
          <cell r="I142" t="str">
            <v>Mauritius</v>
          </cell>
        </row>
        <row r="143">
          <cell r="I143" t="str">
            <v>Mayotte</v>
          </cell>
        </row>
        <row r="144">
          <cell r="I144" t="str">
            <v>Melilla</v>
          </cell>
        </row>
        <row r="145">
          <cell r="I145" t="str">
            <v>Mexico</v>
          </cell>
        </row>
        <row r="146">
          <cell r="I146" t="str">
            <v>Micronesia (Federated States Of)</v>
          </cell>
        </row>
        <row r="147">
          <cell r="I147" t="str">
            <v>Moldova (The Republic Of)</v>
          </cell>
        </row>
        <row r="148">
          <cell r="I148" t="str">
            <v>Monaco</v>
          </cell>
        </row>
        <row r="149">
          <cell r="I149" t="str">
            <v>Mongolia</v>
          </cell>
        </row>
        <row r="150">
          <cell r="I150" t="str">
            <v>Montenegro</v>
          </cell>
        </row>
        <row r="151">
          <cell r="I151" t="str">
            <v>Montserrat</v>
          </cell>
        </row>
        <row r="152">
          <cell r="I152" t="str">
            <v>Morocco</v>
          </cell>
        </row>
        <row r="153">
          <cell r="I153" t="str">
            <v>Mozambique</v>
          </cell>
        </row>
        <row r="154">
          <cell r="I154" t="str">
            <v>Myanmar</v>
          </cell>
        </row>
        <row r="155">
          <cell r="I155" t="str">
            <v>Namibia</v>
          </cell>
        </row>
        <row r="156">
          <cell r="I156" t="str">
            <v>Nauru</v>
          </cell>
        </row>
        <row r="157">
          <cell r="I157" t="str">
            <v>Nepal</v>
          </cell>
        </row>
        <row r="158">
          <cell r="I158" t="str">
            <v>Netherlands (EEA)</v>
          </cell>
        </row>
        <row r="159">
          <cell r="I159" t="str">
            <v>Netherlands Antilles</v>
          </cell>
        </row>
        <row r="160">
          <cell r="I160" t="str">
            <v>New Caledonia</v>
          </cell>
        </row>
        <row r="161">
          <cell r="I161" t="str">
            <v>New Zealand</v>
          </cell>
        </row>
        <row r="162">
          <cell r="I162" t="str">
            <v>Nicaragua</v>
          </cell>
        </row>
        <row r="163">
          <cell r="I163" t="str">
            <v>Niger</v>
          </cell>
        </row>
        <row r="164">
          <cell r="I164" t="str">
            <v>Nigeria</v>
          </cell>
        </row>
        <row r="165">
          <cell r="I165" t="str">
            <v>Niue</v>
          </cell>
        </row>
        <row r="166">
          <cell r="I166" t="str">
            <v>Norfolk Island</v>
          </cell>
        </row>
        <row r="167">
          <cell r="I167" t="str">
            <v>Northern Mariana Islands</v>
          </cell>
        </row>
        <row r="168">
          <cell r="I168" t="str">
            <v>Norway</v>
          </cell>
        </row>
        <row r="169">
          <cell r="I169" t="str">
            <v>Oman</v>
          </cell>
        </row>
        <row r="170">
          <cell r="I170" t="str">
            <v>Pakistan</v>
          </cell>
        </row>
        <row r="171">
          <cell r="I171" t="str">
            <v>Palau</v>
          </cell>
        </row>
        <row r="172">
          <cell r="I172" t="str">
            <v>Palestine</v>
          </cell>
        </row>
        <row r="173">
          <cell r="I173" t="str">
            <v>Panama</v>
          </cell>
        </row>
        <row r="174">
          <cell r="I174" t="str">
            <v>Papua New Guinea</v>
          </cell>
        </row>
        <row r="175">
          <cell r="I175" t="str">
            <v>Paraguay</v>
          </cell>
        </row>
        <row r="176">
          <cell r="I176" t="str">
            <v>Peru</v>
          </cell>
        </row>
        <row r="177">
          <cell r="I177" t="str">
            <v>Philippines</v>
          </cell>
        </row>
        <row r="178">
          <cell r="I178" t="str">
            <v>Pitcairn Islands</v>
          </cell>
        </row>
        <row r="179">
          <cell r="I179" t="str">
            <v>Poland (EEA)</v>
          </cell>
        </row>
        <row r="180">
          <cell r="I180" t="str">
            <v>Portugal (EEA)</v>
          </cell>
        </row>
        <row r="181">
          <cell r="I181" t="str">
            <v>Qatar</v>
          </cell>
        </row>
        <row r="182">
          <cell r="I182" t="str">
            <v>Romania (EEA)</v>
          </cell>
        </row>
        <row r="183">
          <cell r="I183" t="str">
            <v>Russian Federation</v>
          </cell>
        </row>
        <row r="184">
          <cell r="I184" t="str">
            <v>Rwanda</v>
          </cell>
        </row>
        <row r="185">
          <cell r="I185" t="str">
            <v>Saint Barthelemy</v>
          </cell>
        </row>
        <row r="186">
          <cell r="I186" t="str">
            <v>Saint Helena (Incl Ascension Island And Tristan De Cunha)</v>
          </cell>
        </row>
        <row r="187">
          <cell r="I187" t="str">
            <v>Saint Kitts And Nevis</v>
          </cell>
        </row>
        <row r="188">
          <cell r="I188" t="str">
            <v>Saint Lucia</v>
          </cell>
        </row>
        <row r="189">
          <cell r="I189" t="str">
            <v>Saint Pierre And Miquelon</v>
          </cell>
        </row>
        <row r="190">
          <cell r="I190" t="str">
            <v>Saint Vincent And The Grenadines</v>
          </cell>
        </row>
        <row r="191">
          <cell r="I191" t="str">
            <v>Samoa</v>
          </cell>
        </row>
        <row r="192">
          <cell r="I192" t="str">
            <v>San Marino</v>
          </cell>
        </row>
        <row r="193">
          <cell r="I193" t="str">
            <v>Sao Tome And Principe</v>
          </cell>
        </row>
        <row r="194">
          <cell r="I194" t="str">
            <v>Saudi Arabia</v>
          </cell>
        </row>
        <row r="195">
          <cell r="I195" t="str">
            <v>Senegal</v>
          </cell>
        </row>
        <row r="196">
          <cell r="I196" t="str">
            <v>Serbia</v>
          </cell>
        </row>
        <row r="197">
          <cell r="I197" t="str">
            <v>Seychelles</v>
          </cell>
        </row>
        <row r="198">
          <cell r="I198" t="str">
            <v>Sierra Leone</v>
          </cell>
        </row>
        <row r="199">
          <cell r="I199" t="str">
            <v>Singapore</v>
          </cell>
        </row>
        <row r="200">
          <cell r="I200" t="str">
            <v>Slovakia (EEA)</v>
          </cell>
        </row>
        <row r="201">
          <cell r="I201" t="str">
            <v>Slovenia (EEA)</v>
          </cell>
        </row>
        <row r="202">
          <cell r="I202" t="str">
            <v>Solomon Islands</v>
          </cell>
        </row>
        <row r="203">
          <cell r="I203" t="str">
            <v>Somalia</v>
          </cell>
        </row>
        <row r="204">
          <cell r="I204" t="str">
            <v>South Africa</v>
          </cell>
        </row>
        <row r="205">
          <cell r="I205" t="str">
            <v>South Georgia And The South Sandwich Islands</v>
          </cell>
        </row>
        <row r="206">
          <cell r="I206" t="str">
            <v>South Sudan</v>
          </cell>
        </row>
        <row r="207">
          <cell r="I207" t="str">
            <v>Spain (EEA)</v>
          </cell>
        </row>
        <row r="208">
          <cell r="I208" t="str">
            <v>Sri Lanka</v>
          </cell>
        </row>
        <row r="209">
          <cell r="I209" t="str">
            <v>Sudan</v>
          </cell>
        </row>
        <row r="210">
          <cell r="I210" t="str">
            <v>Suriname</v>
          </cell>
        </row>
        <row r="211">
          <cell r="I211" t="str">
            <v>Svalbard</v>
          </cell>
        </row>
        <row r="212">
          <cell r="I212" t="str">
            <v>Swaziland</v>
          </cell>
        </row>
        <row r="213">
          <cell r="I213" t="str">
            <v>Sweden (EEA)</v>
          </cell>
        </row>
        <row r="214">
          <cell r="I214" t="str">
            <v>Switzerland</v>
          </cell>
        </row>
        <row r="215">
          <cell r="I215" t="str">
            <v>Syria</v>
          </cell>
        </row>
        <row r="216">
          <cell r="I216" t="str">
            <v>Taiwan</v>
          </cell>
        </row>
        <row r="217">
          <cell r="I217" t="str">
            <v>Tajikistan</v>
          </cell>
        </row>
        <row r="218">
          <cell r="I218" t="str">
            <v>Tanzania</v>
          </cell>
        </row>
        <row r="219">
          <cell r="I219" t="str">
            <v>Thailand</v>
          </cell>
        </row>
        <row r="220">
          <cell r="I220" t="str">
            <v>Timor Leste</v>
          </cell>
        </row>
        <row r="221">
          <cell r="I221" t="str">
            <v>Togo</v>
          </cell>
        </row>
        <row r="222">
          <cell r="I222" t="str">
            <v>Tokelau</v>
          </cell>
        </row>
        <row r="223">
          <cell r="I223" t="str">
            <v>Tonga</v>
          </cell>
        </row>
        <row r="224">
          <cell r="I224" t="str">
            <v>Trinidad And Tobago</v>
          </cell>
        </row>
        <row r="225">
          <cell r="I225" t="str">
            <v>Tunisia</v>
          </cell>
        </row>
        <row r="226">
          <cell r="I226" t="str">
            <v>Turkey</v>
          </cell>
        </row>
        <row r="227">
          <cell r="I227" t="str">
            <v>Turkmenistan</v>
          </cell>
        </row>
        <row r="228">
          <cell r="I228" t="str">
            <v>Turks And Caicos Islands</v>
          </cell>
        </row>
        <row r="229">
          <cell r="I229" t="str">
            <v>Tuvalu</v>
          </cell>
        </row>
        <row r="230">
          <cell r="I230" t="str">
            <v>Uganda</v>
          </cell>
        </row>
        <row r="231">
          <cell r="I231" t="str">
            <v>UK &amp; NI</v>
          </cell>
        </row>
        <row r="232">
          <cell r="I232" t="str">
            <v>Ukraine</v>
          </cell>
        </row>
        <row r="233">
          <cell r="I233" t="str">
            <v>United Arab Emirates</v>
          </cell>
        </row>
        <row r="234">
          <cell r="I234" t="str">
            <v>United States</v>
          </cell>
        </row>
        <row r="235">
          <cell r="I235" t="str">
            <v>United States Minor Outlying Islands</v>
          </cell>
        </row>
        <row r="236">
          <cell r="I236" t="str">
            <v>Uruguay</v>
          </cell>
        </row>
        <row r="237">
          <cell r="I237" t="str">
            <v>Uzbekistan</v>
          </cell>
        </row>
        <row r="238">
          <cell r="I238" t="str">
            <v>Vanuatu</v>
          </cell>
        </row>
        <row r="239">
          <cell r="I239" t="str">
            <v>Vatican City State (Holy See)</v>
          </cell>
        </row>
        <row r="240">
          <cell r="I240" t="str">
            <v>Venezuela</v>
          </cell>
        </row>
        <row r="241">
          <cell r="I241" t="str">
            <v>Vietnam</v>
          </cell>
        </row>
        <row r="242">
          <cell r="I242" t="str">
            <v>Virgin Islands (British)</v>
          </cell>
        </row>
        <row r="243">
          <cell r="I243" t="str">
            <v>Virgin Islands (U.S.)</v>
          </cell>
        </row>
        <row r="244">
          <cell r="I244" t="str">
            <v>Yemen</v>
          </cell>
        </row>
        <row r="245">
          <cell r="I245" t="str">
            <v>Zambia</v>
          </cell>
        </row>
        <row r="246">
          <cell r="I246" t="str">
            <v>Zimbabwe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ntents"/>
      <sheetName val="Notes on Completion"/>
      <sheetName val="Cover"/>
      <sheetName val="Cover (2)"/>
      <sheetName val="Section 1"/>
      <sheetName val="Section 2"/>
      <sheetName val="Section 3"/>
      <sheetName val="Section 4"/>
      <sheetName val="Section 5"/>
      <sheetName val="Section 6"/>
      <sheetName val="Section 7"/>
      <sheetName val="Section 8"/>
      <sheetName val="9. Declarations"/>
    </sheetNames>
    <sheetDataSet>
      <sheetData sheetId="0">
        <row r="2">
          <cell r="A2" t="str">
            <v>Co. Antrim</v>
          </cell>
          <cell r="I2" t="str">
            <v>Benefical Owner</v>
          </cell>
          <cell r="N2" t="str">
            <v>Passport</v>
          </cell>
        </row>
        <row r="3">
          <cell r="I3" t="str">
            <v>Benefical Owner &amp; Significant Influence</v>
          </cell>
          <cell r="N3" t="str">
            <v>Driving License</v>
          </cell>
        </row>
        <row r="4">
          <cell r="I4" t="str">
            <v>Controllor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ver"/>
      <sheetName val="Notes on Completion"/>
      <sheetName val="Section 1"/>
      <sheetName val="Section 2"/>
      <sheetName val="Section 3"/>
      <sheetName val="Section 4"/>
      <sheetName val="Section 5"/>
      <sheetName val="Section 6"/>
      <sheetName val="Section 7"/>
      <sheetName val="8. Declarations"/>
    </sheetNames>
    <sheetDataSet>
      <sheetData sheetId="0">
        <row r="2">
          <cell r="E2" t="str">
            <v>Afghanistan</v>
          </cell>
          <cell r="O2" t="str">
            <v>Current</v>
          </cell>
          <cell r="AB2" t="str">
            <v>Private limited company</v>
          </cell>
        </row>
        <row r="3">
          <cell r="O3" t="str">
            <v>Previous</v>
          </cell>
          <cell r="AB3" t="str">
            <v>Partnership</v>
          </cell>
        </row>
        <row r="4">
          <cell r="AB4" t="str">
            <v>Designated Activity Company</v>
          </cell>
        </row>
        <row r="5">
          <cell r="AB5" t="str">
            <v>Limited liability partnership</v>
          </cell>
        </row>
        <row r="6">
          <cell r="AB6" t="str">
            <v>Public limited company</v>
          </cell>
        </row>
        <row r="7">
          <cell r="AB7" t="str">
            <v>Limited partnership</v>
          </cell>
        </row>
        <row r="8">
          <cell r="AB8" t="str">
            <v>Special purpose vehicle</v>
          </cell>
        </row>
        <row r="9">
          <cell r="AB9" t="str">
            <v>Foreign entity</v>
          </cell>
        </row>
        <row r="10">
          <cell r="AB10" t="str">
            <v>Other</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ntents"/>
      <sheetName val="Notes on Completion"/>
      <sheetName val="Section 1"/>
      <sheetName val="Section 2"/>
      <sheetName val="Section 3"/>
      <sheetName val="Section 4"/>
      <sheetName val="Section 5"/>
      <sheetName val="Section 6"/>
      <sheetName val="Section 7"/>
      <sheetName val="Section 8"/>
      <sheetName val="9. Declarations"/>
    </sheetNames>
    <sheetDataSet>
      <sheetData sheetId="0">
        <row r="2">
          <cell r="M2" t="str">
            <v>Current</v>
          </cell>
        </row>
        <row r="3">
          <cell r="M3" t="str">
            <v>Previous</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n.wikipedia.org/wiki/South_Dublin" TargetMode="External"/><Relationship Id="rId1" Type="http://schemas.openxmlformats.org/officeDocument/2006/relationships/hyperlink" Target="https://en.wikipedia.org/wiki/D%C3%BAn_Laoghaire%E2%80%93Rathdown"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55" Type="http://schemas.openxmlformats.org/officeDocument/2006/relationships/ctrlProp" Target="../ctrlProps/ctrlProp5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2" Type="http://schemas.openxmlformats.org/officeDocument/2006/relationships/drawing" Target="../drawings/drawing1.xml"/><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54" Type="http://schemas.openxmlformats.org/officeDocument/2006/relationships/ctrlProp" Target="../ctrlProps/ctrlProp50.xml"/><Relationship Id="rId1" Type="http://schemas.openxmlformats.org/officeDocument/2006/relationships/printerSettings" Target="../printerSettings/printerSettings4.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8" Type="http://schemas.openxmlformats.org/officeDocument/2006/relationships/ctrlProp" Target="../ctrlProps/ctrlProp4.xml"/><Relationship Id="rId51" Type="http://schemas.openxmlformats.org/officeDocument/2006/relationships/ctrlProp" Target="../ctrlProps/ctrlProp47.xml"/><Relationship Id="rId3"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65.xml"/><Relationship Id="rId18" Type="http://schemas.openxmlformats.org/officeDocument/2006/relationships/ctrlProp" Target="../ctrlProps/ctrlProp70.xml"/><Relationship Id="rId26" Type="http://schemas.openxmlformats.org/officeDocument/2006/relationships/ctrlProp" Target="../ctrlProps/ctrlProp78.xml"/><Relationship Id="rId39" Type="http://schemas.openxmlformats.org/officeDocument/2006/relationships/ctrlProp" Target="../ctrlProps/ctrlProp91.xml"/><Relationship Id="rId21" Type="http://schemas.openxmlformats.org/officeDocument/2006/relationships/ctrlProp" Target="../ctrlProps/ctrlProp73.xml"/><Relationship Id="rId34" Type="http://schemas.openxmlformats.org/officeDocument/2006/relationships/ctrlProp" Target="../ctrlProps/ctrlProp86.xml"/><Relationship Id="rId42" Type="http://schemas.openxmlformats.org/officeDocument/2006/relationships/ctrlProp" Target="../ctrlProps/ctrlProp94.xml"/><Relationship Id="rId47" Type="http://schemas.openxmlformats.org/officeDocument/2006/relationships/ctrlProp" Target="../ctrlProps/ctrlProp99.xml"/><Relationship Id="rId50" Type="http://schemas.openxmlformats.org/officeDocument/2006/relationships/ctrlProp" Target="../ctrlProps/ctrlProp102.xml"/><Relationship Id="rId55" Type="http://schemas.openxmlformats.org/officeDocument/2006/relationships/ctrlProp" Target="../ctrlProps/ctrlProp107.xml"/><Relationship Id="rId63" Type="http://schemas.openxmlformats.org/officeDocument/2006/relationships/ctrlProp" Target="../ctrlProps/ctrlProp115.xml"/><Relationship Id="rId68" Type="http://schemas.openxmlformats.org/officeDocument/2006/relationships/ctrlProp" Target="../ctrlProps/ctrlProp120.xml"/><Relationship Id="rId7" Type="http://schemas.openxmlformats.org/officeDocument/2006/relationships/ctrlProp" Target="../ctrlProps/ctrlProp59.xml"/><Relationship Id="rId71" Type="http://schemas.openxmlformats.org/officeDocument/2006/relationships/ctrlProp" Target="../ctrlProps/ctrlProp123.xml"/><Relationship Id="rId2" Type="http://schemas.openxmlformats.org/officeDocument/2006/relationships/drawing" Target="../drawings/drawing2.xml"/><Relationship Id="rId16" Type="http://schemas.openxmlformats.org/officeDocument/2006/relationships/ctrlProp" Target="../ctrlProps/ctrlProp68.xml"/><Relationship Id="rId29" Type="http://schemas.openxmlformats.org/officeDocument/2006/relationships/ctrlProp" Target="../ctrlProps/ctrlProp81.xml"/><Relationship Id="rId1" Type="http://schemas.openxmlformats.org/officeDocument/2006/relationships/printerSettings" Target="../printerSettings/printerSettings5.bin"/><Relationship Id="rId6" Type="http://schemas.openxmlformats.org/officeDocument/2006/relationships/ctrlProp" Target="../ctrlProps/ctrlProp58.xml"/><Relationship Id="rId11" Type="http://schemas.openxmlformats.org/officeDocument/2006/relationships/ctrlProp" Target="../ctrlProps/ctrlProp63.xml"/><Relationship Id="rId24" Type="http://schemas.openxmlformats.org/officeDocument/2006/relationships/ctrlProp" Target="../ctrlProps/ctrlProp76.xml"/><Relationship Id="rId32" Type="http://schemas.openxmlformats.org/officeDocument/2006/relationships/ctrlProp" Target="../ctrlProps/ctrlProp84.xml"/><Relationship Id="rId37" Type="http://schemas.openxmlformats.org/officeDocument/2006/relationships/ctrlProp" Target="../ctrlProps/ctrlProp89.xml"/><Relationship Id="rId40" Type="http://schemas.openxmlformats.org/officeDocument/2006/relationships/ctrlProp" Target="../ctrlProps/ctrlProp92.xml"/><Relationship Id="rId45" Type="http://schemas.openxmlformats.org/officeDocument/2006/relationships/ctrlProp" Target="../ctrlProps/ctrlProp97.xml"/><Relationship Id="rId53" Type="http://schemas.openxmlformats.org/officeDocument/2006/relationships/ctrlProp" Target="../ctrlProps/ctrlProp105.xml"/><Relationship Id="rId58" Type="http://schemas.openxmlformats.org/officeDocument/2006/relationships/ctrlProp" Target="../ctrlProps/ctrlProp110.xml"/><Relationship Id="rId66" Type="http://schemas.openxmlformats.org/officeDocument/2006/relationships/ctrlProp" Target="../ctrlProps/ctrlProp118.xml"/><Relationship Id="rId5" Type="http://schemas.openxmlformats.org/officeDocument/2006/relationships/ctrlProp" Target="../ctrlProps/ctrlProp57.xml"/><Relationship Id="rId15" Type="http://schemas.openxmlformats.org/officeDocument/2006/relationships/ctrlProp" Target="../ctrlProps/ctrlProp67.xml"/><Relationship Id="rId23" Type="http://schemas.openxmlformats.org/officeDocument/2006/relationships/ctrlProp" Target="../ctrlProps/ctrlProp75.xml"/><Relationship Id="rId28" Type="http://schemas.openxmlformats.org/officeDocument/2006/relationships/ctrlProp" Target="../ctrlProps/ctrlProp80.xml"/><Relationship Id="rId36" Type="http://schemas.openxmlformats.org/officeDocument/2006/relationships/ctrlProp" Target="../ctrlProps/ctrlProp88.xml"/><Relationship Id="rId49" Type="http://schemas.openxmlformats.org/officeDocument/2006/relationships/ctrlProp" Target="../ctrlProps/ctrlProp101.xml"/><Relationship Id="rId57" Type="http://schemas.openxmlformats.org/officeDocument/2006/relationships/ctrlProp" Target="../ctrlProps/ctrlProp109.xml"/><Relationship Id="rId61" Type="http://schemas.openxmlformats.org/officeDocument/2006/relationships/ctrlProp" Target="../ctrlProps/ctrlProp113.xml"/><Relationship Id="rId10" Type="http://schemas.openxmlformats.org/officeDocument/2006/relationships/ctrlProp" Target="../ctrlProps/ctrlProp62.xml"/><Relationship Id="rId19" Type="http://schemas.openxmlformats.org/officeDocument/2006/relationships/ctrlProp" Target="../ctrlProps/ctrlProp71.xml"/><Relationship Id="rId31" Type="http://schemas.openxmlformats.org/officeDocument/2006/relationships/ctrlProp" Target="../ctrlProps/ctrlProp83.xml"/><Relationship Id="rId44" Type="http://schemas.openxmlformats.org/officeDocument/2006/relationships/ctrlProp" Target="../ctrlProps/ctrlProp96.xml"/><Relationship Id="rId52" Type="http://schemas.openxmlformats.org/officeDocument/2006/relationships/ctrlProp" Target="../ctrlProps/ctrlProp104.xml"/><Relationship Id="rId60" Type="http://schemas.openxmlformats.org/officeDocument/2006/relationships/ctrlProp" Target="../ctrlProps/ctrlProp112.xml"/><Relationship Id="rId65" Type="http://schemas.openxmlformats.org/officeDocument/2006/relationships/ctrlProp" Target="../ctrlProps/ctrlProp117.xml"/><Relationship Id="rId4" Type="http://schemas.openxmlformats.org/officeDocument/2006/relationships/ctrlProp" Target="../ctrlProps/ctrlProp56.xml"/><Relationship Id="rId9" Type="http://schemas.openxmlformats.org/officeDocument/2006/relationships/ctrlProp" Target="../ctrlProps/ctrlProp61.xml"/><Relationship Id="rId14" Type="http://schemas.openxmlformats.org/officeDocument/2006/relationships/ctrlProp" Target="../ctrlProps/ctrlProp66.xml"/><Relationship Id="rId22" Type="http://schemas.openxmlformats.org/officeDocument/2006/relationships/ctrlProp" Target="../ctrlProps/ctrlProp74.xml"/><Relationship Id="rId27" Type="http://schemas.openxmlformats.org/officeDocument/2006/relationships/ctrlProp" Target="../ctrlProps/ctrlProp79.xml"/><Relationship Id="rId30" Type="http://schemas.openxmlformats.org/officeDocument/2006/relationships/ctrlProp" Target="../ctrlProps/ctrlProp82.xml"/><Relationship Id="rId35" Type="http://schemas.openxmlformats.org/officeDocument/2006/relationships/ctrlProp" Target="../ctrlProps/ctrlProp87.xml"/><Relationship Id="rId43" Type="http://schemas.openxmlformats.org/officeDocument/2006/relationships/ctrlProp" Target="../ctrlProps/ctrlProp95.xml"/><Relationship Id="rId48" Type="http://schemas.openxmlformats.org/officeDocument/2006/relationships/ctrlProp" Target="../ctrlProps/ctrlProp100.xml"/><Relationship Id="rId56" Type="http://schemas.openxmlformats.org/officeDocument/2006/relationships/ctrlProp" Target="../ctrlProps/ctrlProp108.xml"/><Relationship Id="rId64" Type="http://schemas.openxmlformats.org/officeDocument/2006/relationships/ctrlProp" Target="../ctrlProps/ctrlProp116.xml"/><Relationship Id="rId69" Type="http://schemas.openxmlformats.org/officeDocument/2006/relationships/ctrlProp" Target="../ctrlProps/ctrlProp121.xml"/><Relationship Id="rId8" Type="http://schemas.openxmlformats.org/officeDocument/2006/relationships/ctrlProp" Target="../ctrlProps/ctrlProp60.xml"/><Relationship Id="rId51" Type="http://schemas.openxmlformats.org/officeDocument/2006/relationships/ctrlProp" Target="../ctrlProps/ctrlProp103.xml"/><Relationship Id="rId3" Type="http://schemas.openxmlformats.org/officeDocument/2006/relationships/vmlDrawing" Target="../drawings/vmlDrawing3.vml"/><Relationship Id="rId12" Type="http://schemas.openxmlformats.org/officeDocument/2006/relationships/ctrlProp" Target="../ctrlProps/ctrlProp64.xml"/><Relationship Id="rId17" Type="http://schemas.openxmlformats.org/officeDocument/2006/relationships/ctrlProp" Target="../ctrlProps/ctrlProp69.xml"/><Relationship Id="rId25" Type="http://schemas.openxmlformats.org/officeDocument/2006/relationships/ctrlProp" Target="../ctrlProps/ctrlProp77.xml"/><Relationship Id="rId33" Type="http://schemas.openxmlformats.org/officeDocument/2006/relationships/ctrlProp" Target="../ctrlProps/ctrlProp85.xml"/><Relationship Id="rId38" Type="http://schemas.openxmlformats.org/officeDocument/2006/relationships/ctrlProp" Target="../ctrlProps/ctrlProp90.xml"/><Relationship Id="rId46" Type="http://schemas.openxmlformats.org/officeDocument/2006/relationships/ctrlProp" Target="../ctrlProps/ctrlProp98.xml"/><Relationship Id="rId59" Type="http://schemas.openxmlformats.org/officeDocument/2006/relationships/ctrlProp" Target="../ctrlProps/ctrlProp111.xml"/><Relationship Id="rId67" Type="http://schemas.openxmlformats.org/officeDocument/2006/relationships/ctrlProp" Target="../ctrlProps/ctrlProp119.xml"/><Relationship Id="rId20" Type="http://schemas.openxmlformats.org/officeDocument/2006/relationships/ctrlProp" Target="../ctrlProps/ctrlProp72.xml"/><Relationship Id="rId41" Type="http://schemas.openxmlformats.org/officeDocument/2006/relationships/ctrlProp" Target="../ctrlProps/ctrlProp93.xml"/><Relationship Id="rId54" Type="http://schemas.openxmlformats.org/officeDocument/2006/relationships/ctrlProp" Target="../ctrlProps/ctrlProp106.xml"/><Relationship Id="rId62" Type="http://schemas.openxmlformats.org/officeDocument/2006/relationships/ctrlProp" Target="../ctrlProps/ctrlProp114.xml"/><Relationship Id="rId70" Type="http://schemas.openxmlformats.org/officeDocument/2006/relationships/ctrlProp" Target="../ctrlProps/ctrlProp122.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33.xml"/><Relationship Id="rId18" Type="http://schemas.openxmlformats.org/officeDocument/2006/relationships/ctrlProp" Target="../ctrlProps/ctrlProp138.xml"/><Relationship Id="rId26" Type="http://schemas.openxmlformats.org/officeDocument/2006/relationships/ctrlProp" Target="../ctrlProps/ctrlProp146.xml"/><Relationship Id="rId39" Type="http://schemas.openxmlformats.org/officeDocument/2006/relationships/ctrlProp" Target="../ctrlProps/ctrlProp159.xml"/><Relationship Id="rId21" Type="http://schemas.openxmlformats.org/officeDocument/2006/relationships/ctrlProp" Target="../ctrlProps/ctrlProp141.xml"/><Relationship Id="rId34" Type="http://schemas.openxmlformats.org/officeDocument/2006/relationships/ctrlProp" Target="../ctrlProps/ctrlProp154.xml"/><Relationship Id="rId42" Type="http://schemas.openxmlformats.org/officeDocument/2006/relationships/ctrlProp" Target="../ctrlProps/ctrlProp162.xml"/><Relationship Id="rId47" Type="http://schemas.openxmlformats.org/officeDocument/2006/relationships/ctrlProp" Target="../ctrlProps/ctrlProp167.xml"/><Relationship Id="rId50" Type="http://schemas.openxmlformats.org/officeDocument/2006/relationships/ctrlProp" Target="../ctrlProps/ctrlProp170.xml"/><Relationship Id="rId55" Type="http://schemas.openxmlformats.org/officeDocument/2006/relationships/ctrlProp" Target="../ctrlProps/ctrlProp175.xml"/><Relationship Id="rId63" Type="http://schemas.openxmlformats.org/officeDocument/2006/relationships/ctrlProp" Target="../ctrlProps/ctrlProp183.xml"/><Relationship Id="rId68" Type="http://schemas.openxmlformats.org/officeDocument/2006/relationships/ctrlProp" Target="../ctrlProps/ctrlProp188.xml"/><Relationship Id="rId76" Type="http://schemas.openxmlformats.org/officeDocument/2006/relationships/ctrlProp" Target="../ctrlProps/ctrlProp196.xml"/><Relationship Id="rId84" Type="http://schemas.openxmlformats.org/officeDocument/2006/relationships/ctrlProp" Target="../ctrlProps/ctrlProp204.xml"/><Relationship Id="rId89" Type="http://schemas.openxmlformats.org/officeDocument/2006/relationships/ctrlProp" Target="../ctrlProps/ctrlProp209.xml"/><Relationship Id="rId7" Type="http://schemas.openxmlformats.org/officeDocument/2006/relationships/ctrlProp" Target="../ctrlProps/ctrlProp127.xml"/><Relationship Id="rId71" Type="http://schemas.openxmlformats.org/officeDocument/2006/relationships/ctrlProp" Target="../ctrlProps/ctrlProp191.xml"/><Relationship Id="rId2" Type="http://schemas.openxmlformats.org/officeDocument/2006/relationships/drawing" Target="../drawings/drawing3.xml"/><Relationship Id="rId16" Type="http://schemas.openxmlformats.org/officeDocument/2006/relationships/ctrlProp" Target="../ctrlProps/ctrlProp136.xml"/><Relationship Id="rId29" Type="http://schemas.openxmlformats.org/officeDocument/2006/relationships/ctrlProp" Target="../ctrlProps/ctrlProp149.xml"/><Relationship Id="rId11" Type="http://schemas.openxmlformats.org/officeDocument/2006/relationships/ctrlProp" Target="../ctrlProps/ctrlProp131.xml"/><Relationship Id="rId24" Type="http://schemas.openxmlformats.org/officeDocument/2006/relationships/ctrlProp" Target="../ctrlProps/ctrlProp144.xml"/><Relationship Id="rId32" Type="http://schemas.openxmlformats.org/officeDocument/2006/relationships/ctrlProp" Target="../ctrlProps/ctrlProp152.xml"/><Relationship Id="rId37" Type="http://schemas.openxmlformats.org/officeDocument/2006/relationships/ctrlProp" Target="../ctrlProps/ctrlProp157.xml"/><Relationship Id="rId40" Type="http://schemas.openxmlformats.org/officeDocument/2006/relationships/ctrlProp" Target="../ctrlProps/ctrlProp160.xml"/><Relationship Id="rId45" Type="http://schemas.openxmlformats.org/officeDocument/2006/relationships/ctrlProp" Target="../ctrlProps/ctrlProp165.xml"/><Relationship Id="rId53" Type="http://schemas.openxmlformats.org/officeDocument/2006/relationships/ctrlProp" Target="../ctrlProps/ctrlProp173.xml"/><Relationship Id="rId58" Type="http://schemas.openxmlformats.org/officeDocument/2006/relationships/ctrlProp" Target="../ctrlProps/ctrlProp178.xml"/><Relationship Id="rId66" Type="http://schemas.openxmlformats.org/officeDocument/2006/relationships/ctrlProp" Target="../ctrlProps/ctrlProp186.xml"/><Relationship Id="rId74" Type="http://schemas.openxmlformats.org/officeDocument/2006/relationships/ctrlProp" Target="../ctrlProps/ctrlProp194.xml"/><Relationship Id="rId79" Type="http://schemas.openxmlformats.org/officeDocument/2006/relationships/ctrlProp" Target="../ctrlProps/ctrlProp199.xml"/><Relationship Id="rId87" Type="http://schemas.openxmlformats.org/officeDocument/2006/relationships/ctrlProp" Target="../ctrlProps/ctrlProp207.xml"/><Relationship Id="rId5" Type="http://schemas.openxmlformats.org/officeDocument/2006/relationships/ctrlProp" Target="../ctrlProps/ctrlProp125.xml"/><Relationship Id="rId61" Type="http://schemas.openxmlformats.org/officeDocument/2006/relationships/ctrlProp" Target="../ctrlProps/ctrlProp181.xml"/><Relationship Id="rId82" Type="http://schemas.openxmlformats.org/officeDocument/2006/relationships/ctrlProp" Target="../ctrlProps/ctrlProp202.xml"/><Relationship Id="rId90" Type="http://schemas.openxmlformats.org/officeDocument/2006/relationships/ctrlProp" Target="../ctrlProps/ctrlProp210.xml"/><Relationship Id="rId19" Type="http://schemas.openxmlformats.org/officeDocument/2006/relationships/ctrlProp" Target="../ctrlProps/ctrlProp139.xml"/><Relationship Id="rId4" Type="http://schemas.openxmlformats.org/officeDocument/2006/relationships/ctrlProp" Target="../ctrlProps/ctrlProp124.xml"/><Relationship Id="rId9" Type="http://schemas.openxmlformats.org/officeDocument/2006/relationships/ctrlProp" Target="../ctrlProps/ctrlProp129.xml"/><Relationship Id="rId14" Type="http://schemas.openxmlformats.org/officeDocument/2006/relationships/ctrlProp" Target="../ctrlProps/ctrlProp134.xml"/><Relationship Id="rId22" Type="http://schemas.openxmlformats.org/officeDocument/2006/relationships/ctrlProp" Target="../ctrlProps/ctrlProp142.xml"/><Relationship Id="rId27" Type="http://schemas.openxmlformats.org/officeDocument/2006/relationships/ctrlProp" Target="../ctrlProps/ctrlProp147.xml"/><Relationship Id="rId30" Type="http://schemas.openxmlformats.org/officeDocument/2006/relationships/ctrlProp" Target="../ctrlProps/ctrlProp150.xml"/><Relationship Id="rId35" Type="http://schemas.openxmlformats.org/officeDocument/2006/relationships/ctrlProp" Target="../ctrlProps/ctrlProp155.xml"/><Relationship Id="rId43" Type="http://schemas.openxmlformats.org/officeDocument/2006/relationships/ctrlProp" Target="../ctrlProps/ctrlProp163.xml"/><Relationship Id="rId48" Type="http://schemas.openxmlformats.org/officeDocument/2006/relationships/ctrlProp" Target="../ctrlProps/ctrlProp168.xml"/><Relationship Id="rId56" Type="http://schemas.openxmlformats.org/officeDocument/2006/relationships/ctrlProp" Target="../ctrlProps/ctrlProp176.xml"/><Relationship Id="rId64" Type="http://schemas.openxmlformats.org/officeDocument/2006/relationships/ctrlProp" Target="../ctrlProps/ctrlProp184.xml"/><Relationship Id="rId69" Type="http://schemas.openxmlformats.org/officeDocument/2006/relationships/ctrlProp" Target="../ctrlProps/ctrlProp189.xml"/><Relationship Id="rId77" Type="http://schemas.openxmlformats.org/officeDocument/2006/relationships/ctrlProp" Target="../ctrlProps/ctrlProp197.xml"/><Relationship Id="rId8" Type="http://schemas.openxmlformats.org/officeDocument/2006/relationships/ctrlProp" Target="../ctrlProps/ctrlProp128.xml"/><Relationship Id="rId51" Type="http://schemas.openxmlformats.org/officeDocument/2006/relationships/ctrlProp" Target="../ctrlProps/ctrlProp171.xml"/><Relationship Id="rId72" Type="http://schemas.openxmlformats.org/officeDocument/2006/relationships/ctrlProp" Target="../ctrlProps/ctrlProp192.xml"/><Relationship Id="rId80" Type="http://schemas.openxmlformats.org/officeDocument/2006/relationships/ctrlProp" Target="../ctrlProps/ctrlProp200.xml"/><Relationship Id="rId85" Type="http://schemas.openxmlformats.org/officeDocument/2006/relationships/ctrlProp" Target="../ctrlProps/ctrlProp205.xml"/><Relationship Id="rId3" Type="http://schemas.openxmlformats.org/officeDocument/2006/relationships/vmlDrawing" Target="../drawings/vmlDrawing4.vml"/><Relationship Id="rId12" Type="http://schemas.openxmlformats.org/officeDocument/2006/relationships/ctrlProp" Target="../ctrlProps/ctrlProp132.xml"/><Relationship Id="rId17" Type="http://schemas.openxmlformats.org/officeDocument/2006/relationships/ctrlProp" Target="../ctrlProps/ctrlProp137.xml"/><Relationship Id="rId25" Type="http://schemas.openxmlformats.org/officeDocument/2006/relationships/ctrlProp" Target="../ctrlProps/ctrlProp145.xml"/><Relationship Id="rId33" Type="http://schemas.openxmlformats.org/officeDocument/2006/relationships/ctrlProp" Target="../ctrlProps/ctrlProp153.xml"/><Relationship Id="rId38" Type="http://schemas.openxmlformats.org/officeDocument/2006/relationships/ctrlProp" Target="../ctrlProps/ctrlProp158.xml"/><Relationship Id="rId46" Type="http://schemas.openxmlformats.org/officeDocument/2006/relationships/ctrlProp" Target="../ctrlProps/ctrlProp166.xml"/><Relationship Id="rId59" Type="http://schemas.openxmlformats.org/officeDocument/2006/relationships/ctrlProp" Target="../ctrlProps/ctrlProp179.xml"/><Relationship Id="rId67" Type="http://schemas.openxmlformats.org/officeDocument/2006/relationships/ctrlProp" Target="../ctrlProps/ctrlProp187.xml"/><Relationship Id="rId20" Type="http://schemas.openxmlformats.org/officeDocument/2006/relationships/ctrlProp" Target="../ctrlProps/ctrlProp140.xml"/><Relationship Id="rId41" Type="http://schemas.openxmlformats.org/officeDocument/2006/relationships/ctrlProp" Target="../ctrlProps/ctrlProp161.xml"/><Relationship Id="rId54" Type="http://schemas.openxmlformats.org/officeDocument/2006/relationships/ctrlProp" Target="../ctrlProps/ctrlProp174.xml"/><Relationship Id="rId62" Type="http://schemas.openxmlformats.org/officeDocument/2006/relationships/ctrlProp" Target="../ctrlProps/ctrlProp182.xml"/><Relationship Id="rId70" Type="http://schemas.openxmlformats.org/officeDocument/2006/relationships/ctrlProp" Target="../ctrlProps/ctrlProp190.xml"/><Relationship Id="rId75" Type="http://schemas.openxmlformats.org/officeDocument/2006/relationships/ctrlProp" Target="../ctrlProps/ctrlProp195.xml"/><Relationship Id="rId83" Type="http://schemas.openxmlformats.org/officeDocument/2006/relationships/ctrlProp" Target="../ctrlProps/ctrlProp203.xml"/><Relationship Id="rId88" Type="http://schemas.openxmlformats.org/officeDocument/2006/relationships/ctrlProp" Target="../ctrlProps/ctrlProp208.xml"/><Relationship Id="rId1" Type="http://schemas.openxmlformats.org/officeDocument/2006/relationships/printerSettings" Target="../printerSettings/printerSettings6.bin"/><Relationship Id="rId6" Type="http://schemas.openxmlformats.org/officeDocument/2006/relationships/ctrlProp" Target="../ctrlProps/ctrlProp126.xml"/><Relationship Id="rId15" Type="http://schemas.openxmlformats.org/officeDocument/2006/relationships/ctrlProp" Target="../ctrlProps/ctrlProp135.xml"/><Relationship Id="rId23" Type="http://schemas.openxmlformats.org/officeDocument/2006/relationships/ctrlProp" Target="../ctrlProps/ctrlProp143.xml"/><Relationship Id="rId28" Type="http://schemas.openxmlformats.org/officeDocument/2006/relationships/ctrlProp" Target="../ctrlProps/ctrlProp148.xml"/><Relationship Id="rId36" Type="http://schemas.openxmlformats.org/officeDocument/2006/relationships/ctrlProp" Target="../ctrlProps/ctrlProp156.xml"/><Relationship Id="rId49" Type="http://schemas.openxmlformats.org/officeDocument/2006/relationships/ctrlProp" Target="../ctrlProps/ctrlProp169.xml"/><Relationship Id="rId57" Type="http://schemas.openxmlformats.org/officeDocument/2006/relationships/ctrlProp" Target="../ctrlProps/ctrlProp177.xml"/><Relationship Id="rId10" Type="http://schemas.openxmlformats.org/officeDocument/2006/relationships/ctrlProp" Target="../ctrlProps/ctrlProp130.xml"/><Relationship Id="rId31" Type="http://schemas.openxmlformats.org/officeDocument/2006/relationships/ctrlProp" Target="../ctrlProps/ctrlProp151.xml"/><Relationship Id="rId44" Type="http://schemas.openxmlformats.org/officeDocument/2006/relationships/ctrlProp" Target="../ctrlProps/ctrlProp164.xml"/><Relationship Id="rId52" Type="http://schemas.openxmlformats.org/officeDocument/2006/relationships/ctrlProp" Target="../ctrlProps/ctrlProp172.xml"/><Relationship Id="rId60" Type="http://schemas.openxmlformats.org/officeDocument/2006/relationships/ctrlProp" Target="../ctrlProps/ctrlProp180.xml"/><Relationship Id="rId65" Type="http://schemas.openxmlformats.org/officeDocument/2006/relationships/ctrlProp" Target="../ctrlProps/ctrlProp185.xml"/><Relationship Id="rId73" Type="http://schemas.openxmlformats.org/officeDocument/2006/relationships/ctrlProp" Target="../ctrlProps/ctrlProp193.xml"/><Relationship Id="rId78" Type="http://schemas.openxmlformats.org/officeDocument/2006/relationships/ctrlProp" Target="../ctrlProps/ctrlProp198.xml"/><Relationship Id="rId81" Type="http://schemas.openxmlformats.org/officeDocument/2006/relationships/ctrlProp" Target="../ctrlProps/ctrlProp201.xml"/><Relationship Id="rId86" Type="http://schemas.openxmlformats.org/officeDocument/2006/relationships/ctrlProp" Target="../ctrlProps/ctrlProp20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15.xml"/><Relationship Id="rId13" Type="http://schemas.openxmlformats.org/officeDocument/2006/relationships/ctrlProp" Target="../ctrlProps/ctrlProp220.xml"/><Relationship Id="rId18" Type="http://schemas.openxmlformats.org/officeDocument/2006/relationships/ctrlProp" Target="../ctrlProps/ctrlProp225.xml"/><Relationship Id="rId26" Type="http://schemas.openxmlformats.org/officeDocument/2006/relationships/ctrlProp" Target="../ctrlProps/ctrlProp233.xml"/><Relationship Id="rId3" Type="http://schemas.openxmlformats.org/officeDocument/2006/relationships/vmlDrawing" Target="../drawings/vmlDrawing5.vml"/><Relationship Id="rId21" Type="http://schemas.openxmlformats.org/officeDocument/2006/relationships/ctrlProp" Target="../ctrlProps/ctrlProp228.xml"/><Relationship Id="rId7" Type="http://schemas.openxmlformats.org/officeDocument/2006/relationships/ctrlProp" Target="../ctrlProps/ctrlProp214.xml"/><Relationship Id="rId12" Type="http://schemas.openxmlformats.org/officeDocument/2006/relationships/ctrlProp" Target="../ctrlProps/ctrlProp219.xml"/><Relationship Id="rId17" Type="http://schemas.openxmlformats.org/officeDocument/2006/relationships/ctrlProp" Target="../ctrlProps/ctrlProp224.xml"/><Relationship Id="rId25" Type="http://schemas.openxmlformats.org/officeDocument/2006/relationships/ctrlProp" Target="../ctrlProps/ctrlProp232.xml"/><Relationship Id="rId2" Type="http://schemas.openxmlformats.org/officeDocument/2006/relationships/drawing" Target="../drawings/drawing4.xml"/><Relationship Id="rId16" Type="http://schemas.openxmlformats.org/officeDocument/2006/relationships/ctrlProp" Target="../ctrlProps/ctrlProp223.xml"/><Relationship Id="rId20" Type="http://schemas.openxmlformats.org/officeDocument/2006/relationships/ctrlProp" Target="../ctrlProps/ctrlProp227.xml"/><Relationship Id="rId29" Type="http://schemas.openxmlformats.org/officeDocument/2006/relationships/ctrlProp" Target="../ctrlProps/ctrlProp236.xml"/><Relationship Id="rId1" Type="http://schemas.openxmlformats.org/officeDocument/2006/relationships/printerSettings" Target="../printerSettings/printerSettings7.bin"/><Relationship Id="rId6" Type="http://schemas.openxmlformats.org/officeDocument/2006/relationships/ctrlProp" Target="../ctrlProps/ctrlProp213.xml"/><Relationship Id="rId11" Type="http://schemas.openxmlformats.org/officeDocument/2006/relationships/ctrlProp" Target="../ctrlProps/ctrlProp218.xml"/><Relationship Id="rId24" Type="http://schemas.openxmlformats.org/officeDocument/2006/relationships/ctrlProp" Target="../ctrlProps/ctrlProp231.xml"/><Relationship Id="rId5" Type="http://schemas.openxmlformats.org/officeDocument/2006/relationships/ctrlProp" Target="../ctrlProps/ctrlProp212.xml"/><Relationship Id="rId15" Type="http://schemas.openxmlformats.org/officeDocument/2006/relationships/ctrlProp" Target="../ctrlProps/ctrlProp222.xml"/><Relationship Id="rId23" Type="http://schemas.openxmlformats.org/officeDocument/2006/relationships/ctrlProp" Target="../ctrlProps/ctrlProp230.xml"/><Relationship Id="rId28" Type="http://schemas.openxmlformats.org/officeDocument/2006/relationships/ctrlProp" Target="../ctrlProps/ctrlProp235.xml"/><Relationship Id="rId10" Type="http://schemas.openxmlformats.org/officeDocument/2006/relationships/ctrlProp" Target="../ctrlProps/ctrlProp217.xml"/><Relationship Id="rId19" Type="http://schemas.openxmlformats.org/officeDocument/2006/relationships/ctrlProp" Target="../ctrlProps/ctrlProp226.xml"/><Relationship Id="rId31" Type="http://schemas.openxmlformats.org/officeDocument/2006/relationships/ctrlProp" Target="../ctrlProps/ctrlProp238.xml"/><Relationship Id="rId4" Type="http://schemas.openxmlformats.org/officeDocument/2006/relationships/ctrlProp" Target="../ctrlProps/ctrlProp211.xml"/><Relationship Id="rId9" Type="http://schemas.openxmlformats.org/officeDocument/2006/relationships/ctrlProp" Target="../ctrlProps/ctrlProp216.xml"/><Relationship Id="rId14" Type="http://schemas.openxmlformats.org/officeDocument/2006/relationships/ctrlProp" Target="../ctrlProps/ctrlProp221.xml"/><Relationship Id="rId22" Type="http://schemas.openxmlformats.org/officeDocument/2006/relationships/ctrlProp" Target="../ctrlProps/ctrlProp229.xml"/><Relationship Id="rId27" Type="http://schemas.openxmlformats.org/officeDocument/2006/relationships/ctrlProp" Target="../ctrlProps/ctrlProp234.xml"/><Relationship Id="rId30" Type="http://schemas.openxmlformats.org/officeDocument/2006/relationships/ctrlProp" Target="../ctrlProps/ctrlProp237.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43.xml"/><Relationship Id="rId13" Type="http://schemas.openxmlformats.org/officeDocument/2006/relationships/ctrlProp" Target="../ctrlProps/ctrlProp248.xml"/><Relationship Id="rId18" Type="http://schemas.openxmlformats.org/officeDocument/2006/relationships/ctrlProp" Target="../ctrlProps/ctrlProp253.xml"/><Relationship Id="rId3" Type="http://schemas.openxmlformats.org/officeDocument/2006/relationships/vmlDrawing" Target="../drawings/vmlDrawing6.vml"/><Relationship Id="rId21" Type="http://schemas.openxmlformats.org/officeDocument/2006/relationships/ctrlProp" Target="../ctrlProps/ctrlProp256.xml"/><Relationship Id="rId7" Type="http://schemas.openxmlformats.org/officeDocument/2006/relationships/ctrlProp" Target="../ctrlProps/ctrlProp242.xml"/><Relationship Id="rId12" Type="http://schemas.openxmlformats.org/officeDocument/2006/relationships/ctrlProp" Target="../ctrlProps/ctrlProp247.xml"/><Relationship Id="rId17" Type="http://schemas.openxmlformats.org/officeDocument/2006/relationships/ctrlProp" Target="../ctrlProps/ctrlProp252.xml"/><Relationship Id="rId2" Type="http://schemas.openxmlformats.org/officeDocument/2006/relationships/drawing" Target="../drawings/drawing5.xml"/><Relationship Id="rId16" Type="http://schemas.openxmlformats.org/officeDocument/2006/relationships/ctrlProp" Target="../ctrlProps/ctrlProp251.xml"/><Relationship Id="rId20" Type="http://schemas.openxmlformats.org/officeDocument/2006/relationships/ctrlProp" Target="../ctrlProps/ctrlProp255.xml"/><Relationship Id="rId1" Type="http://schemas.openxmlformats.org/officeDocument/2006/relationships/printerSettings" Target="../printerSettings/printerSettings8.bin"/><Relationship Id="rId6" Type="http://schemas.openxmlformats.org/officeDocument/2006/relationships/ctrlProp" Target="../ctrlProps/ctrlProp241.xml"/><Relationship Id="rId11" Type="http://schemas.openxmlformats.org/officeDocument/2006/relationships/ctrlProp" Target="../ctrlProps/ctrlProp246.xml"/><Relationship Id="rId5" Type="http://schemas.openxmlformats.org/officeDocument/2006/relationships/ctrlProp" Target="../ctrlProps/ctrlProp240.xml"/><Relationship Id="rId15" Type="http://schemas.openxmlformats.org/officeDocument/2006/relationships/ctrlProp" Target="../ctrlProps/ctrlProp250.xml"/><Relationship Id="rId23" Type="http://schemas.openxmlformats.org/officeDocument/2006/relationships/ctrlProp" Target="../ctrlProps/ctrlProp258.xml"/><Relationship Id="rId10" Type="http://schemas.openxmlformats.org/officeDocument/2006/relationships/ctrlProp" Target="../ctrlProps/ctrlProp245.xml"/><Relationship Id="rId19" Type="http://schemas.openxmlformats.org/officeDocument/2006/relationships/ctrlProp" Target="../ctrlProps/ctrlProp254.xml"/><Relationship Id="rId4" Type="http://schemas.openxmlformats.org/officeDocument/2006/relationships/ctrlProp" Target="../ctrlProps/ctrlProp239.xml"/><Relationship Id="rId9" Type="http://schemas.openxmlformats.org/officeDocument/2006/relationships/ctrlProp" Target="../ctrlProps/ctrlProp244.xml"/><Relationship Id="rId14" Type="http://schemas.openxmlformats.org/officeDocument/2006/relationships/ctrlProp" Target="../ctrlProps/ctrlProp249.xml"/><Relationship Id="rId22" Type="http://schemas.openxmlformats.org/officeDocument/2006/relationships/ctrlProp" Target="../ctrlProps/ctrlProp25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9.bin"/><Relationship Id="rId5" Type="http://schemas.openxmlformats.org/officeDocument/2006/relationships/ctrlProp" Target="../ctrlProps/ctrlProp260.xml"/><Relationship Id="rId4" Type="http://schemas.openxmlformats.org/officeDocument/2006/relationships/ctrlProp" Target="../ctrlProps/ctrlProp25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sheetPr>
  <dimension ref="A1:CH246"/>
  <sheetViews>
    <sheetView workbookViewId="0"/>
  </sheetViews>
  <sheetFormatPr defaultRowHeight="15" x14ac:dyDescent="0.25"/>
  <cols>
    <col min="1" max="1" width="25.140625" bestFit="1" customWidth="1"/>
    <col min="3" max="3" width="25.140625" customWidth="1"/>
    <col min="11" max="11" width="17" bestFit="1" customWidth="1"/>
    <col min="12" max="13" width="17" customWidth="1"/>
    <col min="14" max="14" width="9.140625" customWidth="1"/>
    <col min="15" max="15" width="23.28515625" customWidth="1"/>
    <col min="16" max="16" width="9.140625" customWidth="1"/>
    <col min="17" max="17" width="56.42578125" bestFit="1" customWidth="1"/>
    <col min="19" max="19" width="28" bestFit="1" customWidth="1"/>
    <col min="20" max="20" width="9.140625" customWidth="1"/>
    <col min="22" max="22" width="192.28515625" bestFit="1" customWidth="1"/>
    <col min="32" max="32" width="22.5703125" bestFit="1" customWidth="1"/>
    <col min="37" max="37" width="10.85546875" customWidth="1"/>
    <col min="40" max="40" width="11.85546875" bestFit="1" customWidth="1"/>
    <col min="73" max="73" width="13.85546875" customWidth="1"/>
    <col min="74" max="74" width="27.5703125" bestFit="1" customWidth="1"/>
    <col min="76" max="76" width="17.5703125" bestFit="1" customWidth="1"/>
    <col min="77" max="77" width="27.5703125" bestFit="1" customWidth="1"/>
    <col min="80" max="80" width="17.5703125" bestFit="1" customWidth="1"/>
    <col min="81" max="81" width="25.140625" bestFit="1" customWidth="1"/>
    <col min="84" max="84" width="16.28515625" bestFit="1" customWidth="1"/>
    <col min="85" max="85" width="11.28515625" bestFit="1" customWidth="1"/>
  </cols>
  <sheetData>
    <row r="1" spans="1:86" ht="15.75" x14ac:dyDescent="0.25">
      <c r="A1" t="s">
        <v>0</v>
      </c>
      <c r="C1" t="s">
        <v>61</v>
      </c>
      <c r="E1" t="s">
        <v>56</v>
      </c>
      <c r="G1" t="s">
        <v>60</v>
      </c>
      <c r="I1" t="s">
        <v>315</v>
      </c>
      <c r="K1" t="s">
        <v>57</v>
      </c>
      <c r="M1" s="2" t="s">
        <v>485</v>
      </c>
      <c r="O1" s="2" t="s">
        <v>451</v>
      </c>
      <c r="Q1" s="2" t="s">
        <v>484</v>
      </c>
      <c r="S1" s="42" t="s">
        <v>365</v>
      </c>
      <c r="T1" s="19"/>
      <c r="U1" s="9"/>
      <c r="V1" s="42" t="s">
        <v>367</v>
      </c>
      <c r="AB1" t="s">
        <v>308</v>
      </c>
      <c r="AD1" t="s">
        <v>311</v>
      </c>
      <c r="AF1" t="s">
        <v>316</v>
      </c>
      <c r="AH1" t="s">
        <v>347</v>
      </c>
      <c r="AJ1" t="s">
        <v>663</v>
      </c>
      <c r="AL1" t="s">
        <v>666</v>
      </c>
      <c r="AN1" t="s">
        <v>348</v>
      </c>
      <c r="AP1" s="642" t="s">
        <v>309</v>
      </c>
      <c r="AQ1" s="643"/>
      <c r="AR1" s="643"/>
      <c r="AS1" s="643"/>
      <c r="AT1" s="643"/>
      <c r="AU1" s="643"/>
      <c r="AV1" s="643"/>
    </row>
    <row r="2" spans="1:86" ht="15.75" x14ac:dyDescent="0.25">
      <c r="A2" t="s">
        <v>46</v>
      </c>
      <c r="C2" t="s">
        <v>46</v>
      </c>
      <c r="E2" t="s">
        <v>53</v>
      </c>
      <c r="G2" t="s">
        <v>53</v>
      </c>
      <c r="I2" t="s">
        <v>53</v>
      </c>
      <c r="K2" t="s">
        <v>21</v>
      </c>
      <c r="M2" s="3" t="s">
        <v>486</v>
      </c>
      <c r="O2" s="58" t="s">
        <v>452</v>
      </c>
      <c r="Q2" s="3" t="s">
        <v>64</v>
      </c>
      <c r="S2" s="19" t="s">
        <v>355</v>
      </c>
      <c r="T2" s="19"/>
      <c r="U2" s="45" t="s">
        <v>368</v>
      </c>
      <c r="V2" s="44" t="s">
        <v>369</v>
      </c>
      <c r="AB2" s="4">
        <v>1</v>
      </c>
      <c r="AD2" t="s">
        <v>312</v>
      </c>
      <c r="AF2" t="s">
        <v>317</v>
      </c>
      <c r="AH2">
        <v>0</v>
      </c>
      <c r="AJ2">
        <v>0</v>
      </c>
      <c r="AK2">
        <v>0</v>
      </c>
      <c r="AL2">
        <v>0</v>
      </c>
      <c r="AN2" t="s">
        <v>349</v>
      </c>
      <c r="AP2" s="5"/>
      <c r="AQ2" s="6"/>
      <c r="AR2" s="6"/>
      <c r="AS2" s="6">
        <f>IF(AQ3=6,"N/A",IF(AQ3=1,"0",AQ3))</f>
        <v>0</v>
      </c>
      <c r="AT2" s="6"/>
      <c r="AU2" s="6"/>
      <c r="AV2" s="6"/>
    </row>
    <row r="3" spans="1:86" ht="15.75" x14ac:dyDescent="0.25">
      <c r="A3" t="s">
        <v>47</v>
      </c>
      <c r="C3" t="s">
        <v>47</v>
      </c>
      <c r="E3" t="s">
        <v>54</v>
      </c>
      <c r="G3" t="s">
        <v>54</v>
      </c>
      <c r="I3" t="s">
        <v>54</v>
      </c>
      <c r="K3" t="s">
        <v>22</v>
      </c>
      <c r="M3" s="3" t="s">
        <v>487</v>
      </c>
      <c r="O3" s="58" t="s">
        <v>453</v>
      </c>
      <c r="Q3" s="3" t="s">
        <v>65</v>
      </c>
      <c r="S3" s="19" t="s">
        <v>356</v>
      </c>
      <c r="T3" s="19"/>
      <c r="U3" s="45" t="s">
        <v>368</v>
      </c>
      <c r="V3" s="44" t="s">
        <v>370</v>
      </c>
      <c r="AB3" s="4">
        <v>2</v>
      </c>
      <c r="AD3" t="s">
        <v>313</v>
      </c>
      <c r="AF3" t="s">
        <v>318</v>
      </c>
      <c r="AH3">
        <v>1</v>
      </c>
      <c r="AJ3">
        <v>1</v>
      </c>
      <c r="AK3">
        <v>1</v>
      </c>
      <c r="AL3">
        <v>1</v>
      </c>
      <c r="AN3" t="s">
        <v>350</v>
      </c>
      <c r="AP3" s="5">
        <v>1</v>
      </c>
      <c r="AQ3" s="7">
        <f>IF('4. ML.TF Risk Profile'!E81=$Q$8,"N/A",'4. ML.TF Risk Profile'!E81)</f>
        <v>0</v>
      </c>
      <c r="AR3" s="6">
        <f>IF(AQ3=0,1,0)</f>
        <v>1</v>
      </c>
      <c r="AS3" s="6">
        <f>IF(AQ3=6,"N/A",AQ3)</f>
        <v>0</v>
      </c>
      <c r="AT3" s="6">
        <f>IF(AND(AS3&lt;&gt;"N/A",OR(COUNTIF($AS$3:$AS$7,"&lt;="&amp;AS3)&lt;&gt;AS3,COUNTIF($AS$3:$AS$7,AS3)&lt;&gt;1)),1,IF(ISERROR(EXACT(AS3,VLOOKUP(AS3,$AP$3:$AP$8,1,FALSE))),1,IF(ISERROR(EXACT(AS3,VLOOKUP(AS3,$AP$3:$AP$8,1,FALSE))),1,0)))</f>
        <v>1</v>
      </c>
      <c r="AU3" s="6" t="str">
        <f>IF(AR3="0","",IF(AT3=0,"","*"))</f>
        <v>*</v>
      </c>
      <c r="AV3" s="6">
        <f>COUNTIF($AS$3:$AS$7,"&lt;="&amp;AS3)</f>
        <v>5</v>
      </c>
      <c r="BU3" t="s">
        <v>319</v>
      </c>
      <c r="BV3" t="str">
        <f>""</f>
        <v/>
      </c>
      <c r="BX3" t="s">
        <v>324</v>
      </c>
      <c r="BY3">
        <v>0</v>
      </c>
      <c r="BZ3">
        <v>0</v>
      </c>
      <c r="CB3" t="s">
        <v>324</v>
      </c>
      <c r="CC3">
        <v>0</v>
      </c>
      <c r="CD3">
        <v>1</v>
      </c>
      <c r="CF3" t="s">
        <v>324</v>
      </c>
      <c r="CG3">
        <v>0</v>
      </c>
      <c r="CH3">
        <v>1</v>
      </c>
    </row>
    <row r="4" spans="1:86" ht="15.75" x14ac:dyDescent="0.25">
      <c r="A4" t="s">
        <v>48</v>
      </c>
      <c r="C4" t="s">
        <v>48</v>
      </c>
      <c r="E4" t="s">
        <v>55</v>
      </c>
      <c r="G4" t="s">
        <v>59</v>
      </c>
      <c r="K4" t="s">
        <v>23</v>
      </c>
      <c r="M4" s="3" t="s">
        <v>488</v>
      </c>
      <c r="O4" s="58" t="s">
        <v>454</v>
      </c>
      <c r="Q4" s="3" t="s">
        <v>66</v>
      </c>
      <c r="S4" s="19" t="s">
        <v>357</v>
      </c>
      <c r="T4" s="19"/>
      <c r="U4" s="45" t="s">
        <v>368</v>
      </c>
      <c r="V4" s="44" t="s">
        <v>371</v>
      </c>
      <c r="AB4" s="4">
        <v>3</v>
      </c>
      <c r="AD4" t="s">
        <v>314</v>
      </c>
      <c r="AH4">
        <v>2</v>
      </c>
      <c r="AJ4">
        <v>2</v>
      </c>
      <c r="AK4">
        <v>2</v>
      </c>
      <c r="AL4">
        <v>2</v>
      </c>
      <c r="AP4" s="5">
        <v>2</v>
      </c>
      <c r="AQ4" s="7">
        <f>IF('4. ML.TF Risk Profile'!E82=$Q$8,"N/A",'4. ML.TF Risk Profile'!E82)</f>
        <v>0</v>
      </c>
      <c r="AR4" s="6">
        <f>IF(AQ4=0,1,0)</f>
        <v>1</v>
      </c>
      <c r="AS4" s="6">
        <f>IF(AQ4=6,"N/A",AQ4)</f>
        <v>0</v>
      </c>
      <c r="AT4" s="6">
        <f t="shared" ref="AT4:AT7" si="0">IF(AND(AS4&lt;&gt;"N/A",OR(COUNTIF($AS$3:$AS$7,"&lt;="&amp;AS4)&lt;&gt;AS4,COUNTIF($AS$3:$AS$7,AS4)&lt;&gt;1)),1,IF(ISERROR(EXACT(AS4,VLOOKUP(AS4,$AP$3:$AP$8,1,FALSE))),1,IF(ISERROR(EXACT(AS4,VLOOKUP(AS4,$AP$3:$AP$8,1,FALSE))),1,0)))</f>
        <v>1</v>
      </c>
      <c r="AU4" s="6" t="str">
        <f>IF(AR4="0","",IF(AT4=0,"","*"))</f>
        <v>*</v>
      </c>
      <c r="AV4" s="6">
        <f t="shared" ref="AV4:AV7" si="1">COUNTIF($AS$3:$AS$7,"&lt;="&amp;AS4)</f>
        <v>5</v>
      </c>
      <c r="BU4" t="s">
        <v>320</v>
      </c>
      <c r="BV4" t="s">
        <v>53</v>
      </c>
      <c r="BX4" t="s">
        <v>325</v>
      </c>
      <c r="BY4" t="s">
        <v>53</v>
      </c>
      <c r="BZ4">
        <v>0</v>
      </c>
      <c r="CB4" t="s">
        <v>325</v>
      </c>
      <c r="CC4" t="s">
        <v>53</v>
      </c>
      <c r="CD4">
        <v>0</v>
      </c>
      <c r="CF4" t="s">
        <v>325</v>
      </c>
      <c r="CG4" t="s">
        <v>53</v>
      </c>
      <c r="CH4">
        <v>0</v>
      </c>
    </row>
    <row r="5" spans="1:86" ht="15.75" x14ac:dyDescent="0.25">
      <c r="A5" t="s">
        <v>49</v>
      </c>
      <c r="C5" t="s">
        <v>49</v>
      </c>
      <c r="K5" t="s">
        <v>24</v>
      </c>
      <c r="M5" s="3" t="s">
        <v>489</v>
      </c>
      <c r="O5" s="58" t="s">
        <v>455</v>
      </c>
      <c r="Q5" s="3" t="s">
        <v>67</v>
      </c>
      <c r="S5" s="19" t="s">
        <v>602</v>
      </c>
      <c r="T5" s="19"/>
      <c r="U5" s="45" t="s">
        <v>368</v>
      </c>
      <c r="V5" s="44" t="s">
        <v>372</v>
      </c>
      <c r="AB5" s="4">
        <v>4</v>
      </c>
      <c r="AD5" t="s">
        <v>54</v>
      </c>
      <c r="AH5">
        <v>3</v>
      </c>
      <c r="AJ5">
        <v>3</v>
      </c>
      <c r="AK5">
        <v>3</v>
      </c>
      <c r="AL5">
        <v>3</v>
      </c>
      <c r="AP5" s="5">
        <v>3</v>
      </c>
      <c r="AQ5" s="7">
        <f>IF('4. ML.TF Risk Profile'!E83=$Q$8,"N/A",'4. ML.TF Risk Profile'!E83)</f>
        <v>0</v>
      </c>
      <c r="AR5" s="6">
        <f>IF(AQ5=0,1,0)</f>
        <v>1</v>
      </c>
      <c r="AS5" s="6">
        <f>IF(AQ5=6,"N/A",AQ5)</f>
        <v>0</v>
      </c>
      <c r="AT5" s="6">
        <f t="shared" si="0"/>
        <v>1</v>
      </c>
      <c r="AU5" s="6" t="str">
        <f>IF(AR5="0","",IF(AT5=0,"","*"))</f>
        <v>*</v>
      </c>
      <c r="AV5" s="6">
        <f t="shared" si="1"/>
        <v>5</v>
      </c>
      <c r="BU5" t="s">
        <v>321</v>
      </c>
      <c r="BV5" t="s">
        <v>54</v>
      </c>
      <c r="BX5" t="s">
        <v>326</v>
      </c>
      <c r="BY5" t="s">
        <v>54</v>
      </c>
      <c r="BZ5">
        <v>0</v>
      </c>
      <c r="CB5" t="s">
        <v>326</v>
      </c>
      <c r="CC5" t="s">
        <v>54</v>
      </c>
      <c r="CD5">
        <v>0</v>
      </c>
      <c r="CF5" t="s">
        <v>326</v>
      </c>
      <c r="CG5" t="s">
        <v>54</v>
      </c>
      <c r="CH5">
        <v>0</v>
      </c>
    </row>
    <row r="6" spans="1:86" ht="15.75" x14ac:dyDescent="0.25">
      <c r="A6" t="s">
        <v>50</v>
      </c>
      <c r="C6" t="s">
        <v>50</v>
      </c>
      <c r="K6" t="s">
        <v>25</v>
      </c>
      <c r="M6" s="3" t="s">
        <v>490</v>
      </c>
      <c r="O6" s="58" t="s">
        <v>456</v>
      </c>
      <c r="Q6" s="3" t="s">
        <v>68</v>
      </c>
      <c r="S6" s="19" t="s">
        <v>358</v>
      </c>
      <c r="T6" s="19"/>
      <c r="U6" s="45" t="s">
        <v>368</v>
      </c>
      <c r="V6" s="44" t="s">
        <v>373</v>
      </c>
      <c r="AB6" s="4">
        <v>5</v>
      </c>
      <c r="AH6">
        <v>4</v>
      </c>
      <c r="AJ6">
        <v>4</v>
      </c>
      <c r="AK6">
        <v>4</v>
      </c>
      <c r="AL6">
        <v>4</v>
      </c>
      <c r="AP6" s="5">
        <v>4</v>
      </c>
      <c r="AQ6" s="7">
        <f>IF('4. ML.TF Risk Profile'!E84=$Q$8,"N/A",'4. ML.TF Risk Profile'!E84)</f>
        <v>0</v>
      </c>
      <c r="AR6" s="6">
        <f>IF(AQ6=0,1,0)</f>
        <v>1</v>
      </c>
      <c r="AS6" s="6">
        <f>IF(AQ6=6,"N/A",AQ6)</f>
        <v>0</v>
      </c>
      <c r="AT6" s="6">
        <f t="shared" si="0"/>
        <v>1</v>
      </c>
      <c r="AU6" s="6" t="str">
        <f>IF(AR6="0","",IF(AT6=0,"","*"))</f>
        <v>*</v>
      </c>
      <c r="AV6" s="6">
        <f t="shared" si="1"/>
        <v>5</v>
      </c>
      <c r="BU6" t="s">
        <v>322</v>
      </c>
      <c r="BV6" t="s">
        <v>323</v>
      </c>
      <c r="BX6" t="s">
        <v>327</v>
      </c>
      <c r="BY6" t="s">
        <v>55</v>
      </c>
      <c r="BZ6">
        <v>0</v>
      </c>
      <c r="CB6" t="s">
        <v>327</v>
      </c>
      <c r="CC6" t="s">
        <v>59</v>
      </c>
      <c r="CD6">
        <v>0</v>
      </c>
      <c r="CF6" t="s">
        <v>327</v>
      </c>
      <c r="CG6" t="s">
        <v>59</v>
      </c>
      <c r="CH6">
        <v>0</v>
      </c>
    </row>
    <row r="7" spans="1:86" ht="15.75" x14ac:dyDescent="0.25">
      <c r="A7" t="s">
        <v>51</v>
      </c>
      <c r="C7" t="s">
        <v>51</v>
      </c>
      <c r="K7" t="s">
        <v>58</v>
      </c>
      <c r="M7" s="3" t="s">
        <v>491</v>
      </c>
      <c r="O7" s="58" t="s">
        <v>457</v>
      </c>
      <c r="Q7" s="3" t="s">
        <v>69</v>
      </c>
      <c r="S7" s="19" t="s">
        <v>359</v>
      </c>
      <c r="T7" s="19"/>
      <c r="U7" s="45" t="s">
        <v>368</v>
      </c>
      <c r="V7" s="44" t="s">
        <v>374</v>
      </c>
      <c r="AB7" s="4" t="s">
        <v>59</v>
      </c>
      <c r="AH7">
        <v>5</v>
      </c>
      <c r="AJ7">
        <v>5</v>
      </c>
      <c r="AK7">
        <v>5</v>
      </c>
      <c r="AL7" t="s">
        <v>665</v>
      </c>
      <c r="AP7" s="5">
        <v>5</v>
      </c>
      <c r="AQ7" s="7">
        <f>IF('4. ML.TF Risk Profile'!E85=$Q$8,"N/A",'4. ML.TF Risk Profile'!E85)</f>
        <v>0</v>
      </c>
      <c r="AR7" s="6">
        <f>IF(AQ7=0,1,0)</f>
        <v>1</v>
      </c>
      <c r="AS7" s="6">
        <f>IF(AQ7=6,"N/A",AQ7)</f>
        <v>0</v>
      </c>
      <c r="AT7" s="6">
        <f t="shared" si="0"/>
        <v>1</v>
      </c>
      <c r="AU7" s="6" t="str">
        <f>IF(AR7="0","",IF(AT7=0,"","*"))</f>
        <v>*</v>
      </c>
      <c r="AV7" s="6">
        <f t="shared" si="1"/>
        <v>5</v>
      </c>
      <c r="BX7" t="s">
        <v>331</v>
      </c>
      <c r="BY7" t="s">
        <v>541</v>
      </c>
      <c r="BZ7">
        <v>1</v>
      </c>
      <c r="CB7" t="s">
        <v>331</v>
      </c>
      <c r="CC7" t="s">
        <v>323</v>
      </c>
      <c r="CD7">
        <v>1</v>
      </c>
      <c r="CF7" t="s">
        <v>331</v>
      </c>
      <c r="CG7" t="s">
        <v>541</v>
      </c>
      <c r="CH7">
        <v>1</v>
      </c>
    </row>
    <row r="8" spans="1:86" ht="15.75" x14ac:dyDescent="0.25">
      <c r="A8" t="s">
        <v>52</v>
      </c>
      <c r="C8" t="s">
        <v>62</v>
      </c>
      <c r="M8" s="3" t="s">
        <v>492</v>
      </c>
      <c r="O8" s="58" t="s">
        <v>458</v>
      </c>
      <c r="Q8" s="3" t="s">
        <v>70</v>
      </c>
      <c r="S8" s="19" t="s">
        <v>360</v>
      </c>
      <c r="T8" s="19"/>
      <c r="U8" s="45" t="s">
        <v>368</v>
      </c>
      <c r="V8" s="44" t="s">
        <v>375</v>
      </c>
      <c r="AH8">
        <v>6</v>
      </c>
      <c r="AJ8">
        <v>6</v>
      </c>
      <c r="AK8">
        <v>6</v>
      </c>
      <c r="AP8" s="5" t="s">
        <v>59</v>
      </c>
      <c r="AQ8" s="7"/>
      <c r="AR8" s="6"/>
      <c r="AS8" s="6"/>
      <c r="AT8" s="6"/>
      <c r="AU8" s="6"/>
      <c r="AV8" s="6"/>
      <c r="BX8" t="s">
        <v>328</v>
      </c>
      <c r="BY8" t="s">
        <v>541</v>
      </c>
      <c r="BZ8">
        <v>1</v>
      </c>
      <c r="CB8" t="s">
        <v>328</v>
      </c>
      <c r="CC8" t="s">
        <v>323</v>
      </c>
      <c r="CD8">
        <v>1</v>
      </c>
      <c r="CF8" t="s">
        <v>328</v>
      </c>
      <c r="CG8" t="s">
        <v>541</v>
      </c>
      <c r="CH8">
        <v>1</v>
      </c>
    </row>
    <row r="9" spans="1:86" ht="15.75" x14ac:dyDescent="0.25">
      <c r="M9" s="3" t="s">
        <v>493</v>
      </c>
      <c r="O9" s="58" t="s">
        <v>459</v>
      </c>
      <c r="Q9" s="3" t="s">
        <v>71</v>
      </c>
      <c r="S9" s="19" t="s">
        <v>361</v>
      </c>
      <c r="T9" s="19"/>
      <c r="U9" s="45" t="s">
        <v>368</v>
      </c>
      <c r="V9" s="44" t="s">
        <v>376</v>
      </c>
      <c r="AH9">
        <v>7</v>
      </c>
      <c r="AJ9">
        <v>7</v>
      </c>
      <c r="AK9">
        <v>7</v>
      </c>
      <c r="AP9" s="5" t="s">
        <v>310</v>
      </c>
      <c r="AQ9" s="7"/>
      <c r="AR9" s="7">
        <f>SUM(AR3:AR8)</f>
        <v>5</v>
      </c>
      <c r="AS9" s="6"/>
      <c r="AT9" s="6">
        <f>SUM(AT3:AT8)</f>
        <v>5</v>
      </c>
      <c r="AU9" s="6">
        <f>COUNTIF(AU3:AU7,"*")</f>
        <v>5</v>
      </c>
      <c r="AV9" s="6"/>
      <c r="BX9" t="s">
        <v>329</v>
      </c>
      <c r="BY9" t="s">
        <v>541</v>
      </c>
      <c r="BZ9">
        <v>1</v>
      </c>
      <c r="CB9" t="s">
        <v>329</v>
      </c>
      <c r="CC9" t="s">
        <v>323</v>
      </c>
      <c r="CD9">
        <v>1</v>
      </c>
      <c r="CF9" t="s">
        <v>329</v>
      </c>
      <c r="CG9" t="s">
        <v>541</v>
      </c>
      <c r="CH9">
        <v>1</v>
      </c>
    </row>
    <row r="10" spans="1:86" ht="15.75" x14ac:dyDescent="0.25">
      <c r="M10" s="3" t="s">
        <v>494</v>
      </c>
      <c r="O10" s="58" t="s">
        <v>460</v>
      </c>
      <c r="Q10" s="3" t="s">
        <v>72</v>
      </c>
      <c r="S10" s="19" t="s">
        <v>362</v>
      </c>
      <c r="T10" s="19"/>
      <c r="U10" s="45" t="s">
        <v>368</v>
      </c>
      <c r="V10" s="44" t="s">
        <v>377</v>
      </c>
      <c r="AH10">
        <v>8</v>
      </c>
      <c r="AJ10">
        <v>8</v>
      </c>
      <c r="AK10">
        <v>8</v>
      </c>
      <c r="AP10" s="5"/>
      <c r="AQ10" s="6"/>
      <c r="AR10" s="6"/>
      <c r="AS10" s="6"/>
      <c r="AT10" s="6" t="str">
        <f>IF(SUM(AR3:AR7)=5,"Yes",IF(SUM(AR3:AR7)=0,"","Please complete all questions"))</f>
        <v>Yes</v>
      </c>
      <c r="AU10" s="6"/>
      <c r="AV10" s="6"/>
      <c r="BX10" t="s">
        <v>330</v>
      </c>
      <c r="BY10" t="s">
        <v>541</v>
      </c>
      <c r="BZ10">
        <v>1</v>
      </c>
      <c r="CB10" t="s">
        <v>330</v>
      </c>
      <c r="CC10" t="s">
        <v>323</v>
      </c>
      <c r="CD10">
        <v>1</v>
      </c>
      <c r="CF10" t="s">
        <v>330</v>
      </c>
      <c r="CG10" t="s">
        <v>541</v>
      </c>
      <c r="CH10">
        <v>1</v>
      </c>
    </row>
    <row r="11" spans="1:86" ht="15.75" x14ac:dyDescent="0.25">
      <c r="M11" s="66" t="s">
        <v>495</v>
      </c>
      <c r="O11" s="58" t="s">
        <v>461</v>
      </c>
      <c r="Q11" s="3" t="s">
        <v>73</v>
      </c>
      <c r="S11" s="19" t="s">
        <v>363</v>
      </c>
      <c r="T11" s="20"/>
      <c r="U11" s="45" t="s">
        <v>368</v>
      </c>
      <c r="V11" s="44" t="s">
        <v>378</v>
      </c>
      <c r="AH11">
        <v>9</v>
      </c>
      <c r="AJ11">
        <v>9</v>
      </c>
      <c r="AK11">
        <v>9</v>
      </c>
      <c r="AP11" s="5"/>
      <c r="AQ11" s="6"/>
      <c r="AR11" s="6"/>
      <c r="AS11" s="6"/>
      <c r="AT11" s="6"/>
      <c r="AU11" s="6"/>
      <c r="AV11" s="6"/>
    </row>
    <row r="12" spans="1:86" ht="15.75" x14ac:dyDescent="0.25">
      <c r="M12" s="66" t="s">
        <v>496</v>
      </c>
      <c r="O12" s="58" t="s">
        <v>462</v>
      </c>
      <c r="Q12" s="3" t="s">
        <v>74</v>
      </c>
      <c r="S12" s="20" t="s">
        <v>364</v>
      </c>
      <c r="U12" s="45" t="s">
        <v>368</v>
      </c>
      <c r="V12" s="44" t="s">
        <v>379</v>
      </c>
      <c r="AH12">
        <v>10</v>
      </c>
      <c r="AJ12">
        <v>10</v>
      </c>
      <c r="AK12">
        <v>10</v>
      </c>
      <c r="AP12" s="5"/>
      <c r="AQ12" s="6"/>
      <c r="AR12" s="8" t="str">
        <f>IF(AR9=0,"","Please complete all questions")</f>
        <v>Please complete all questions</v>
      </c>
      <c r="AS12" s="6"/>
      <c r="AT12" s="8" t="str">
        <f>IF(AR12="Please complete all questions","",IF(AT9=0,"","Please ensure numbers are in sequential order and not duplicated"))</f>
        <v/>
      </c>
      <c r="AU12" s="8" t="str">
        <f>IF(SUM(AQ3:AQ7)=0,"",TRIM(AR12&amp;" "&amp;AT12))</f>
        <v/>
      </c>
      <c r="AV12" s="6"/>
    </row>
    <row r="13" spans="1:86" ht="15.75" x14ac:dyDescent="0.25">
      <c r="M13" s="66" t="s">
        <v>497</v>
      </c>
      <c r="O13" s="58" t="s">
        <v>463</v>
      </c>
      <c r="Q13" s="3" t="s">
        <v>75</v>
      </c>
      <c r="U13" s="45" t="s">
        <v>368</v>
      </c>
      <c r="V13" s="44" t="s">
        <v>380</v>
      </c>
      <c r="AH13">
        <v>11</v>
      </c>
      <c r="AJ13" t="s">
        <v>664</v>
      </c>
      <c r="AK13">
        <v>10</v>
      </c>
    </row>
    <row r="14" spans="1:86" ht="15.75" x14ac:dyDescent="0.25">
      <c r="M14" s="66" t="s">
        <v>498</v>
      </c>
      <c r="O14" s="58" t="s">
        <v>464</v>
      </c>
      <c r="Q14" s="3" t="s">
        <v>76</v>
      </c>
      <c r="U14" s="45" t="s">
        <v>368</v>
      </c>
      <c r="V14" s="44" t="s">
        <v>381</v>
      </c>
      <c r="AH14">
        <v>12</v>
      </c>
      <c r="AK14">
        <v>0</v>
      </c>
    </row>
    <row r="15" spans="1:86" ht="15.75" x14ac:dyDescent="0.25">
      <c r="M15" s="66" t="s">
        <v>499</v>
      </c>
      <c r="O15" s="58" t="s">
        <v>465</v>
      </c>
      <c r="Q15" s="3" t="s">
        <v>77</v>
      </c>
      <c r="U15" s="45" t="s">
        <v>368</v>
      </c>
      <c r="V15" s="44" t="s">
        <v>382</v>
      </c>
      <c r="AH15">
        <v>13</v>
      </c>
    </row>
    <row r="16" spans="1:86" ht="15.75" x14ac:dyDescent="0.25">
      <c r="M16" s="66" t="s">
        <v>500</v>
      </c>
      <c r="O16" s="58" t="s">
        <v>168</v>
      </c>
      <c r="Q16" s="3" t="s">
        <v>78</v>
      </c>
      <c r="U16" s="45" t="s">
        <v>368</v>
      </c>
      <c r="V16" s="44" t="s">
        <v>421</v>
      </c>
      <c r="AH16">
        <v>14</v>
      </c>
    </row>
    <row r="17" spans="13:34" ht="15.75" x14ac:dyDescent="0.25">
      <c r="M17" s="66" t="s">
        <v>501</v>
      </c>
      <c r="O17" s="58" t="s">
        <v>466</v>
      </c>
      <c r="Q17" s="3" t="s">
        <v>79</v>
      </c>
      <c r="U17" s="45" t="s">
        <v>368</v>
      </c>
      <c r="V17" s="44" t="s">
        <v>383</v>
      </c>
      <c r="AH17">
        <v>15</v>
      </c>
    </row>
    <row r="18" spans="13:34" ht="15.75" x14ac:dyDescent="0.25">
      <c r="M18" s="66" t="s">
        <v>502</v>
      </c>
      <c r="O18" s="58" t="s">
        <v>467</v>
      </c>
      <c r="Q18" s="3" t="s">
        <v>80</v>
      </c>
      <c r="U18" s="45" t="s">
        <v>368</v>
      </c>
      <c r="V18" s="44" t="s">
        <v>384</v>
      </c>
      <c r="AH18">
        <v>16</v>
      </c>
    </row>
    <row r="19" spans="13:34" ht="15.75" x14ac:dyDescent="0.25">
      <c r="M19" s="66" t="s">
        <v>503</v>
      </c>
      <c r="O19" s="58" t="s">
        <v>468</v>
      </c>
      <c r="Q19" s="3" t="s">
        <v>81</v>
      </c>
      <c r="U19" s="45" t="s">
        <v>368</v>
      </c>
      <c r="V19" s="44" t="s">
        <v>385</v>
      </c>
      <c r="AH19">
        <v>17</v>
      </c>
    </row>
    <row r="20" spans="13:34" ht="15.75" x14ac:dyDescent="0.25">
      <c r="M20" s="66" t="s">
        <v>504</v>
      </c>
      <c r="O20" s="58" t="s">
        <v>469</v>
      </c>
      <c r="Q20" s="3" t="s">
        <v>82</v>
      </c>
      <c r="U20" s="45" t="s">
        <v>386</v>
      </c>
      <c r="V20" s="44" t="s">
        <v>387</v>
      </c>
      <c r="AH20">
        <v>18</v>
      </c>
    </row>
    <row r="21" spans="13:34" ht="15.75" x14ac:dyDescent="0.25">
      <c r="M21" s="66" t="s">
        <v>505</v>
      </c>
      <c r="O21" s="58" t="s">
        <v>470</v>
      </c>
      <c r="Q21" s="3" t="s">
        <v>83</v>
      </c>
      <c r="U21" s="45" t="s">
        <v>386</v>
      </c>
      <c r="V21" s="44" t="s">
        <v>388</v>
      </c>
      <c r="AH21">
        <v>19</v>
      </c>
    </row>
    <row r="22" spans="13:34" ht="15.75" x14ac:dyDescent="0.25">
      <c r="M22" s="66" t="s">
        <v>506</v>
      </c>
      <c r="O22" s="58" t="s">
        <v>471</v>
      </c>
      <c r="Q22" s="3" t="s">
        <v>84</v>
      </c>
      <c r="U22" s="45" t="s">
        <v>386</v>
      </c>
      <c r="V22" s="44" t="s">
        <v>389</v>
      </c>
      <c r="AH22">
        <v>20</v>
      </c>
    </row>
    <row r="23" spans="13:34" ht="15.75" x14ac:dyDescent="0.25">
      <c r="M23" s="66" t="s">
        <v>507</v>
      </c>
      <c r="O23" s="58" t="s">
        <v>472</v>
      </c>
      <c r="Q23" s="3" t="s">
        <v>85</v>
      </c>
      <c r="U23" s="45" t="s">
        <v>386</v>
      </c>
      <c r="V23" s="44" t="s">
        <v>390</v>
      </c>
      <c r="AH23">
        <v>21</v>
      </c>
    </row>
    <row r="24" spans="13:34" ht="15.75" x14ac:dyDescent="0.25">
      <c r="M24" s="66" t="s">
        <v>508</v>
      </c>
      <c r="O24" s="58" t="s">
        <v>473</v>
      </c>
      <c r="Q24" s="3" t="s">
        <v>86</v>
      </c>
      <c r="U24" s="45" t="s">
        <v>391</v>
      </c>
      <c r="V24" s="44" t="s">
        <v>392</v>
      </c>
      <c r="AH24">
        <v>22</v>
      </c>
    </row>
    <row r="25" spans="13:34" ht="15.75" x14ac:dyDescent="0.25">
      <c r="M25" s="66" t="s">
        <v>509</v>
      </c>
      <c r="O25" s="58" t="s">
        <v>474</v>
      </c>
      <c r="Q25" s="3" t="s">
        <v>87</v>
      </c>
      <c r="U25" s="45" t="s">
        <v>391</v>
      </c>
      <c r="V25" s="44" t="s">
        <v>393</v>
      </c>
      <c r="AH25">
        <v>23</v>
      </c>
    </row>
    <row r="26" spans="13:34" ht="15.75" x14ac:dyDescent="0.25">
      <c r="M26" s="66" t="s">
        <v>510</v>
      </c>
      <c r="O26" s="58" t="s">
        <v>475</v>
      </c>
      <c r="Q26" s="3" t="s">
        <v>88</v>
      </c>
      <c r="U26" s="45" t="s">
        <v>391</v>
      </c>
      <c r="V26" s="44" t="s">
        <v>394</v>
      </c>
      <c r="AH26">
        <v>24</v>
      </c>
    </row>
    <row r="27" spans="13:34" ht="15.75" x14ac:dyDescent="0.25">
      <c r="M27" s="66" t="s">
        <v>511</v>
      </c>
      <c r="O27" s="58" t="s">
        <v>476</v>
      </c>
      <c r="Q27" s="3" t="s">
        <v>89</v>
      </c>
      <c r="U27" s="45" t="s">
        <v>395</v>
      </c>
      <c r="V27" s="44" t="s">
        <v>396</v>
      </c>
      <c r="AH27">
        <v>25</v>
      </c>
    </row>
    <row r="28" spans="13:34" ht="15.75" x14ac:dyDescent="0.25">
      <c r="M28" s="66" t="s">
        <v>512</v>
      </c>
      <c r="O28" s="58" t="s">
        <v>477</v>
      </c>
      <c r="Q28" s="3" t="s">
        <v>90</v>
      </c>
      <c r="U28" s="45" t="s">
        <v>395</v>
      </c>
      <c r="V28" s="44" t="s">
        <v>397</v>
      </c>
      <c r="AH28">
        <v>26</v>
      </c>
    </row>
    <row r="29" spans="13:34" ht="15.75" x14ac:dyDescent="0.25">
      <c r="M29" s="66" t="s">
        <v>513</v>
      </c>
      <c r="O29" s="58" t="s">
        <v>478</v>
      </c>
      <c r="Q29" s="3" t="s">
        <v>91</v>
      </c>
      <c r="U29" s="45" t="s">
        <v>395</v>
      </c>
      <c r="V29" s="44" t="s">
        <v>398</v>
      </c>
      <c r="AH29">
        <v>27</v>
      </c>
    </row>
    <row r="30" spans="13:34" ht="15.75" x14ac:dyDescent="0.25">
      <c r="M30" s="66" t="s">
        <v>514</v>
      </c>
      <c r="O30" s="58" t="s">
        <v>479</v>
      </c>
      <c r="Q30" s="3" t="s">
        <v>92</v>
      </c>
      <c r="U30" s="45" t="s">
        <v>395</v>
      </c>
      <c r="V30" s="44" t="s">
        <v>399</v>
      </c>
      <c r="AH30">
        <v>28</v>
      </c>
    </row>
    <row r="31" spans="13:34" ht="15.75" x14ac:dyDescent="0.25">
      <c r="M31" s="66" t="s">
        <v>515</v>
      </c>
      <c r="O31" s="58" t="s">
        <v>480</v>
      </c>
      <c r="Q31" s="3" t="s">
        <v>93</v>
      </c>
      <c r="U31" s="45" t="s">
        <v>400</v>
      </c>
      <c r="V31" s="44" t="s">
        <v>401</v>
      </c>
      <c r="AH31">
        <v>29</v>
      </c>
    </row>
    <row r="32" spans="13:34" ht="15.75" x14ac:dyDescent="0.25">
      <c r="M32" s="66" t="s">
        <v>516</v>
      </c>
      <c r="O32" s="58" t="s">
        <v>482</v>
      </c>
      <c r="Q32" s="3" t="s">
        <v>94</v>
      </c>
      <c r="U32" s="45" t="s">
        <v>400</v>
      </c>
      <c r="V32" s="44" t="s">
        <v>402</v>
      </c>
      <c r="AH32">
        <v>30</v>
      </c>
    </row>
    <row r="33" spans="13:34" ht="15.75" x14ac:dyDescent="0.25">
      <c r="M33" s="66" t="s">
        <v>517</v>
      </c>
      <c r="O33" s="58" t="s">
        <v>483</v>
      </c>
      <c r="Q33" s="3" t="s">
        <v>95</v>
      </c>
      <c r="U33" s="45" t="s">
        <v>400</v>
      </c>
      <c r="V33" s="44" t="s">
        <v>403</v>
      </c>
      <c r="AH33">
        <v>31</v>
      </c>
    </row>
    <row r="34" spans="13:34" ht="15.75" x14ac:dyDescent="0.25">
      <c r="M34" s="3" t="s">
        <v>518</v>
      </c>
      <c r="O34" s="58"/>
      <c r="Q34" s="3" t="s">
        <v>96</v>
      </c>
      <c r="U34" s="45" t="s">
        <v>400</v>
      </c>
      <c r="V34" s="44" t="s">
        <v>404</v>
      </c>
      <c r="AH34">
        <v>32</v>
      </c>
    </row>
    <row r="35" spans="13:34" ht="15.75" x14ac:dyDescent="0.25">
      <c r="M35" s="3" t="s">
        <v>519</v>
      </c>
      <c r="O35" s="58"/>
      <c r="Q35" s="3" t="s">
        <v>97</v>
      </c>
      <c r="U35" s="45" t="s">
        <v>400</v>
      </c>
      <c r="V35" s="44" t="s">
        <v>405</v>
      </c>
      <c r="AH35">
        <v>33</v>
      </c>
    </row>
    <row r="36" spans="13:34" ht="15.75" x14ac:dyDescent="0.25">
      <c r="M36" s="3" t="s">
        <v>520</v>
      </c>
      <c r="O36" s="58"/>
      <c r="Q36" s="3" t="s">
        <v>98</v>
      </c>
      <c r="U36" s="45" t="s">
        <v>406</v>
      </c>
      <c r="V36" s="44" t="s">
        <v>407</v>
      </c>
      <c r="AH36">
        <v>34</v>
      </c>
    </row>
    <row r="37" spans="13:34" ht="15.75" x14ac:dyDescent="0.25">
      <c r="M37" s="58" t="s">
        <v>521</v>
      </c>
      <c r="O37" s="58"/>
      <c r="Q37" s="3" t="s">
        <v>99</v>
      </c>
      <c r="U37" s="45" t="s">
        <v>406</v>
      </c>
      <c r="V37" s="44" t="s">
        <v>408</v>
      </c>
      <c r="AH37">
        <v>35</v>
      </c>
    </row>
    <row r="38" spans="13:34" ht="15.75" x14ac:dyDescent="0.25">
      <c r="M38" s="3" t="s">
        <v>522</v>
      </c>
      <c r="O38" s="58"/>
      <c r="Q38" s="3" t="s">
        <v>100</v>
      </c>
      <c r="U38" s="45" t="s">
        <v>406</v>
      </c>
      <c r="V38" s="44" t="s">
        <v>409</v>
      </c>
      <c r="AH38">
        <v>36</v>
      </c>
    </row>
    <row r="39" spans="13:34" ht="15.75" x14ac:dyDescent="0.25">
      <c r="M39" s="3" t="s">
        <v>523</v>
      </c>
      <c r="O39" s="58"/>
      <c r="Q39" s="3" t="s">
        <v>101</v>
      </c>
      <c r="U39" s="45" t="s">
        <v>406</v>
      </c>
      <c r="V39" s="44" t="s">
        <v>410</v>
      </c>
      <c r="AH39">
        <v>37</v>
      </c>
    </row>
    <row r="40" spans="13:34" ht="15.75" x14ac:dyDescent="0.25">
      <c r="M40" s="3" t="s">
        <v>524</v>
      </c>
      <c r="O40" s="58"/>
      <c r="Q40" s="3" t="s">
        <v>102</v>
      </c>
      <c r="U40" s="45" t="s">
        <v>406</v>
      </c>
      <c r="V40" s="44" t="s">
        <v>411</v>
      </c>
      <c r="AH40">
        <v>38</v>
      </c>
    </row>
    <row r="41" spans="13:34" ht="15.75" x14ac:dyDescent="0.25">
      <c r="M41" s="3" t="s">
        <v>525</v>
      </c>
      <c r="O41" s="58"/>
      <c r="Q41" s="3" t="s">
        <v>103</v>
      </c>
      <c r="U41" s="45" t="s">
        <v>412</v>
      </c>
      <c r="V41" s="44" t="s">
        <v>413</v>
      </c>
      <c r="AH41">
        <v>39</v>
      </c>
    </row>
    <row r="42" spans="13:34" ht="15.75" x14ac:dyDescent="0.25">
      <c r="M42" s="3" t="s">
        <v>526</v>
      </c>
      <c r="O42" s="58"/>
      <c r="Q42" s="3" t="s">
        <v>104</v>
      </c>
      <c r="U42" s="45" t="s">
        <v>412</v>
      </c>
      <c r="V42" s="44" t="s">
        <v>414</v>
      </c>
      <c r="AH42">
        <v>40</v>
      </c>
    </row>
    <row r="43" spans="13:34" ht="15.75" x14ac:dyDescent="0.25">
      <c r="M43" s="3" t="s">
        <v>527</v>
      </c>
      <c r="O43" s="58"/>
      <c r="Q43" s="3" t="s">
        <v>105</v>
      </c>
      <c r="U43" s="45" t="s">
        <v>412</v>
      </c>
      <c r="V43" s="44" t="s">
        <v>422</v>
      </c>
      <c r="AH43">
        <v>41</v>
      </c>
    </row>
    <row r="44" spans="13:34" ht="15.75" x14ac:dyDescent="0.25">
      <c r="M44" s="58" t="s">
        <v>528</v>
      </c>
      <c r="O44" s="58"/>
      <c r="Q44" s="3" t="s">
        <v>106</v>
      </c>
      <c r="U44" s="45" t="s">
        <v>412</v>
      </c>
      <c r="V44" s="44" t="s">
        <v>415</v>
      </c>
      <c r="AH44">
        <v>42</v>
      </c>
    </row>
    <row r="45" spans="13:34" ht="15.75" x14ac:dyDescent="0.25">
      <c r="M45" s="3" t="s">
        <v>529</v>
      </c>
      <c r="O45" s="58"/>
      <c r="Q45" s="3" t="s">
        <v>107</v>
      </c>
      <c r="U45" s="45" t="s">
        <v>416</v>
      </c>
      <c r="V45" s="44" t="s">
        <v>417</v>
      </c>
      <c r="AH45">
        <v>43</v>
      </c>
    </row>
    <row r="46" spans="13:34" ht="15.75" x14ac:dyDescent="0.25">
      <c r="M46" s="3" t="s">
        <v>530</v>
      </c>
      <c r="O46" s="58"/>
      <c r="Q46" s="3" t="s">
        <v>108</v>
      </c>
      <c r="U46" s="45" t="s">
        <v>418</v>
      </c>
      <c r="V46" s="44" t="s">
        <v>419</v>
      </c>
      <c r="AH46">
        <v>44</v>
      </c>
    </row>
    <row r="47" spans="13:34" ht="15.75" x14ac:dyDescent="0.25">
      <c r="M47" s="3" t="s">
        <v>531</v>
      </c>
      <c r="O47" s="58"/>
      <c r="Q47" s="3" t="s">
        <v>109</v>
      </c>
      <c r="U47" s="45" t="s">
        <v>420</v>
      </c>
      <c r="V47" s="44" t="s">
        <v>423</v>
      </c>
      <c r="AH47">
        <v>45</v>
      </c>
    </row>
    <row r="48" spans="13:34" ht="15.75" x14ac:dyDescent="0.25">
      <c r="M48" s="3" t="s">
        <v>532</v>
      </c>
      <c r="O48" s="58"/>
      <c r="Q48" s="3" t="s">
        <v>110</v>
      </c>
      <c r="V48" s="44" t="s">
        <v>59</v>
      </c>
      <c r="AH48">
        <v>46</v>
      </c>
    </row>
    <row r="49" spans="13:34" ht="15.75" x14ac:dyDescent="0.25">
      <c r="M49" s="3" t="s">
        <v>533</v>
      </c>
      <c r="O49" s="58"/>
      <c r="Q49" s="3" t="s">
        <v>111</v>
      </c>
      <c r="AH49">
        <v>47</v>
      </c>
    </row>
    <row r="50" spans="13:34" ht="15.75" x14ac:dyDescent="0.25">
      <c r="M50" s="3" t="s">
        <v>534</v>
      </c>
      <c r="O50" s="58"/>
      <c r="Q50" s="3" t="s">
        <v>112</v>
      </c>
      <c r="AH50">
        <v>48</v>
      </c>
    </row>
    <row r="51" spans="13:34" ht="15.75" x14ac:dyDescent="0.25">
      <c r="M51" s="3" t="s">
        <v>535</v>
      </c>
      <c r="O51" s="58"/>
      <c r="Q51" s="3" t="s">
        <v>113</v>
      </c>
      <c r="AH51">
        <v>49</v>
      </c>
    </row>
    <row r="52" spans="13:34" ht="15.75" x14ac:dyDescent="0.25">
      <c r="M52" s="3" t="s">
        <v>536</v>
      </c>
      <c r="O52" s="58"/>
      <c r="Q52" s="3" t="s">
        <v>114</v>
      </c>
      <c r="AH52">
        <v>50</v>
      </c>
    </row>
    <row r="53" spans="13:34" ht="15.75" x14ac:dyDescent="0.25">
      <c r="M53" s="3" t="s">
        <v>537</v>
      </c>
      <c r="O53" s="58"/>
      <c r="Q53" s="3" t="s">
        <v>115</v>
      </c>
      <c r="AH53">
        <v>51</v>
      </c>
    </row>
    <row r="54" spans="13:34" ht="15.75" x14ac:dyDescent="0.25">
      <c r="M54" s="3" t="s">
        <v>538</v>
      </c>
      <c r="O54" s="58"/>
      <c r="Q54" s="3" t="s">
        <v>116</v>
      </c>
      <c r="AH54">
        <v>52</v>
      </c>
    </row>
    <row r="55" spans="13:34" ht="15.75" x14ac:dyDescent="0.25">
      <c r="M55" s="3" t="s">
        <v>539</v>
      </c>
      <c r="O55" s="58"/>
      <c r="Q55" s="3" t="s">
        <v>117</v>
      </c>
      <c r="AH55">
        <v>53</v>
      </c>
    </row>
    <row r="56" spans="13:34" ht="15.75" x14ac:dyDescent="0.25">
      <c r="O56" s="58"/>
      <c r="Q56" s="3" t="s">
        <v>118</v>
      </c>
      <c r="AH56">
        <v>54</v>
      </c>
    </row>
    <row r="57" spans="13:34" ht="15.75" x14ac:dyDescent="0.25">
      <c r="O57" s="58"/>
      <c r="Q57" s="3" t="s">
        <v>119</v>
      </c>
      <c r="AH57">
        <v>55</v>
      </c>
    </row>
    <row r="58" spans="13:34" ht="15.75" x14ac:dyDescent="0.25">
      <c r="O58" s="58"/>
      <c r="Q58" s="3" t="s">
        <v>120</v>
      </c>
      <c r="AH58">
        <v>56</v>
      </c>
    </row>
    <row r="59" spans="13:34" ht="15.75" x14ac:dyDescent="0.25">
      <c r="O59" s="58"/>
      <c r="Q59" s="3" t="s">
        <v>121</v>
      </c>
      <c r="AH59">
        <v>57</v>
      </c>
    </row>
    <row r="60" spans="13:34" ht="15.75" x14ac:dyDescent="0.25">
      <c r="O60" s="58"/>
      <c r="Q60" s="3" t="s">
        <v>122</v>
      </c>
      <c r="AH60">
        <v>58</v>
      </c>
    </row>
    <row r="61" spans="13:34" ht="15.75" x14ac:dyDescent="0.25">
      <c r="O61" s="58"/>
      <c r="Q61" s="3" t="s">
        <v>123</v>
      </c>
      <c r="AH61">
        <v>59</v>
      </c>
    </row>
    <row r="62" spans="13:34" ht="15.75" x14ac:dyDescent="0.25">
      <c r="O62" s="58"/>
      <c r="Q62" s="3" t="s">
        <v>124</v>
      </c>
      <c r="AH62">
        <v>60</v>
      </c>
    </row>
    <row r="63" spans="13:34" ht="15.75" x14ac:dyDescent="0.25">
      <c r="O63" s="58"/>
      <c r="Q63" s="3" t="s">
        <v>125</v>
      </c>
      <c r="AH63">
        <v>61</v>
      </c>
    </row>
    <row r="64" spans="13:34" ht="15.75" x14ac:dyDescent="0.25">
      <c r="O64" s="58"/>
      <c r="Q64" s="3" t="s">
        <v>126</v>
      </c>
      <c r="AH64">
        <v>62</v>
      </c>
    </row>
    <row r="65" spans="15:34" ht="15.75" x14ac:dyDescent="0.25">
      <c r="O65" s="58"/>
      <c r="Q65" s="3" t="s">
        <v>127</v>
      </c>
      <c r="AH65">
        <v>63</v>
      </c>
    </row>
    <row r="66" spans="15:34" ht="15.75" x14ac:dyDescent="0.25">
      <c r="O66" s="58"/>
      <c r="Q66" s="3" t="s">
        <v>128</v>
      </c>
      <c r="AH66">
        <v>64</v>
      </c>
    </row>
    <row r="67" spans="15:34" ht="15.75" x14ac:dyDescent="0.25">
      <c r="O67" s="58"/>
      <c r="Q67" s="3" t="s">
        <v>129</v>
      </c>
      <c r="AH67">
        <v>65</v>
      </c>
    </row>
    <row r="68" spans="15:34" ht="15.75" x14ac:dyDescent="0.25">
      <c r="O68" s="58"/>
      <c r="Q68" s="3" t="s">
        <v>130</v>
      </c>
      <c r="AH68">
        <v>66</v>
      </c>
    </row>
    <row r="69" spans="15:34" ht="15.75" x14ac:dyDescent="0.25">
      <c r="O69" s="58"/>
      <c r="Q69" s="3" t="s">
        <v>131</v>
      </c>
      <c r="AH69">
        <v>67</v>
      </c>
    </row>
    <row r="70" spans="15:34" ht="15.75" x14ac:dyDescent="0.25">
      <c r="O70" s="58"/>
      <c r="Q70" s="3" t="s">
        <v>132</v>
      </c>
      <c r="AH70">
        <v>68</v>
      </c>
    </row>
    <row r="71" spans="15:34" ht="15.75" x14ac:dyDescent="0.25">
      <c r="O71" s="58"/>
      <c r="Q71" s="3" t="s">
        <v>133</v>
      </c>
      <c r="AH71">
        <v>69</v>
      </c>
    </row>
    <row r="72" spans="15:34" ht="15.75" x14ac:dyDescent="0.25">
      <c r="O72" s="58"/>
      <c r="Q72" s="3" t="s">
        <v>134</v>
      </c>
      <c r="AH72">
        <v>70</v>
      </c>
    </row>
    <row r="73" spans="15:34" ht="15.75" x14ac:dyDescent="0.25">
      <c r="O73" s="58"/>
      <c r="Q73" s="3" t="s">
        <v>135</v>
      </c>
      <c r="AH73">
        <v>71</v>
      </c>
    </row>
    <row r="74" spans="15:34" ht="15.75" x14ac:dyDescent="0.25">
      <c r="O74" s="58"/>
      <c r="Q74" s="3" t="s">
        <v>136</v>
      </c>
      <c r="AH74">
        <v>72</v>
      </c>
    </row>
    <row r="75" spans="15:34" ht="15.75" x14ac:dyDescent="0.25">
      <c r="O75" s="58"/>
      <c r="Q75" s="3" t="s">
        <v>137</v>
      </c>
      <c r="AH75">
        <v>73</v>
      </c>
    </row>
    <row r="76" spans="15:34" ht="15.75" x14ac:dyDescent="0.25">
      <c r="O76" s="58"/>
      <c r="Q76" s="3" t="s">
        <v>138</v>
      </c>
      <c r="AH76">
        <v>74</v>
      </c>
    </row>
    <row r="77" spans="15:34" ht="15.75" x14ac:dyDescent="0.25">
      <c r="O77" s="58"/>
      <c r="Q77" s="3" t="s">
        <v>139</v>
      </c>
      <c r="AH77">
        <v>75</v>
      </c>
    </row>
    <row r="78" spans="15:34" ht="15.75" x14ac:dyDescent="0.25">
      <c r="O78" s="58"/>
      <c r="Q78" s="3" t="s">
        <v>140</v>
      </c>
      <c r="AH78">
        <v>76</v>
      </c>
    </row>
    <row r="79" spans="15:34" ht="15.75" x14ac:dyDescent="0.25">
      <c r="O79" s="58"/>
      <c r="Q79" s="3" t="s">
        <v>141</v>
      </c>
      <c r="AH79">
        <v>77</v>
      </c>
    </row>
    <row r="80" spans="15:34" ht="15.75" x14ac:dyDescent="0.25">
      <c r="O80" s="58"/>
      <c r="Q80" s="3" t="s">
        <v>142</v>
      </c>
      <c r="AH80">
        <v>78</v>
      </c>
    </row>
    <row r="81" spans="15:34" ht="15.75" x14ac:dyDescent="0.25">
      <c r="O81" s="58"/>
      <c r="Q81" s="3" t="s">
        <v>143</v>
      </c>
      <c r="AH81">
        <v>79</v>
      </c>
    </row>
    <row r="82" spans="15:34" ht="15.75" x14ac:dyDescent="0.25">
      <c r="O82" s="58"/>
      <c r="Q82" s="3" t="s">
        <v>144</v>
      </c>
      <c r="AH82">
        <v>80</v>
      </c>
    </row>
    <row r="83" spans="15:34" ht="15.75" x14ac:dyDescent="0.25">
      <c r="O83" s="58"/>
      <c r="Q83" s="3" t="s">
        <v>145</v>
      </c>
      <c r="AH83">
        <v>81</v>
      </c>
    </row>
    <row r="84" spans="15:34" ht="15.75" x14ac:dyDescent="0.25">
      <c r="O84" s="58"/>
      <c r="Q84" s="3" t="s">
        <v>146</v>
      </c>
      <c r="AH84">
        <v>82</v>
      </c>
    </row>
    <row r="85" spans="15:34" ht="15.75" x14ac:dyDescent="0.25">
      <c r="O85" s="58"/>
      <c r="Q85" s="3" t="s">
        <v>147</v>
      </c>
      <c r="AH85">
        <v>83</v>
      </c>
    </row>
    <row r="86" spans="15:34" ht="15.75" x14ac:dyDescent="0.25">
      <c r="O86" s="58"/>
      <c r="Q86" s="3" t="s">
        <v>148</v>
      </c>
      <c r="AH86">
        <v>84</v>
      </c>
    </row>
    <row r="87" spans="15:34" ht="15.75" x14ac:dyDescent="0.25">
      <c r="O87" s="58"/>
      <c r="Q87" s="3" t="s">
        <v>149</v>
      </c>
      <c r="AH87">
        <v>85</v>
      </c>
    </row>
    <row r="88" spans="15:34" ht="15.75" x14ac:dyDescent="0.25">
      <c r="O88" s="58"/>
      <c r="Q88" s="3" t="s">
        <v>150</v>
      </c>
      <c r="AH88">
        <v>86</v>
      </c>
    </row>
    <row r="89" spans="15:34" ht="15.75" x14ac:dyDescent="0.25">
      <c r="O89" s="58"/>
      <c r="Q89" s="3" t="s">
        <v>151</v>
      </c>
      <c r="AH89">
        <v>87</v>
      </c>
    </row>
    <row r="90" spans="15:34" ht="15.75" x14ac:dyDescent="0.25">
      <c r="O90" s="58"/>
      <c r="Q90" s="3" t="s">
        <v>152</v>
      </c>
      <c r="AH90">
        <v>88</v>
      </c>
    </row>
    <row r="91" spans="15:34" ht="15.75" x14ac:dyDescent="0.25">
      <c r="O91" s="58"/>
      <c r="Q91" s="3" t="s">
        <v>153</v>
      </c>
      <c r="AH91">
        <v>89</v>
      </c>
    </row>
    <row r="92" spans="15:34" ht="15.75" x14ac:dyDescent="0.25">
      <c r="O92" s="58"/>
      <c r="Q92" s="3" t="s">
        <v>154</v>
      </c>
      <c r="AH92">
        <v>90</v>
      </c>
    </row>
    <row r="93" spans="15:34" ht="15.75" x14ac:dyDescent="0.25">
      <c r="O93" s="58"/>
      <c r="Q93" s="3" t="s">
        <v>155</v>
      </c>
      <c r="AH93">
        <v>91</v>
      </c>
    </row>
    <row r="94" spans="15:34" ht="15.75" x14ac:dyDescent="0.25">
      <c r="O94" s="58"/>
      <c r="Q94" s="3" t="s">
        <v>156</v>
      </c>
      <c r="AH94">
        <v>92</v>
      </c>
    </row>
    <row r="95" spans="15:34" ht="15.75" x14ac:dyDescent="0.25">
      <c r="O95" s="58"/>
      <c r="Q95" s="3" t="s">
        <v>157</v>
      </c>
      <c r="AH95">
        <v>93</v>
      </c>
    </row>
    <row r="96" spans="15:34" ht="15.75" x14ac:dyDescent="0.25">
      <c r="O96" s="58"/>
      <c r="Q96" s="3" t="s">
        <v>158</v>
      </c>
      <c r="AH96">
        <v>94</v>
      </c>
    </row>
    <row r="97" spans="15:34" ht="15.75" x14ac:dyDescent="0.25">
      <c r="O97" s="58"/>
      <c r="Q97" s="3" t="s">
        <v>159</v>
      </c>
      <c r="AH97">
        <v>95</v>
      </c>
    </row>
    <row r="98" spans="15:34" ht="15.75" x14ac:dyDescent="0.25">
      <c r="O98" s="58"/>
      <c r="Q98" s="3" t="s">
        <v>160</v>
      </c>
      <c r="AH98">
        <v>96</v>
      </c>
    </row>
    <row r="99" spans="15:34" ht="15.75" x14ac:dyDescent="0.25">
      <c r="O99" s="58"/>
      <c r="Q99" s="3" t="s">
        <v>161</v>
      </c>
      <c r="AH99">
        <v>97</v>
      </c>
    </row>
    <row r="100" spans="15:34" ht="15.75" x14ac:dyDescent="0.25">
      <c r="O100" s="58"/>
      <c r="Q100" s="3" t="s">
        <v>162</v>
      </c>
      <c r="AH100">
        <v>98</v>
      </c>
    </row>
    <row r="101" spans="15:34" ht="15.75" x14ac:dyDescent="0.25">
      <c r="O101" s="58"/>
      <c r="Q101" s="3" t="s">
        <v>163</v>
      </c>
      <c r="AH101">
        <v>99</v>
      </c>
    </row>
    <row r="102" spans="15:34" ht="15.75" x14ac:dyDescent="0.25">
      <c r="O102" s="58"/>
      <c r="Q102" s="3" t="s">
        <v>164</v>
      </c>
      <c r="AH102">
        <v>100</v>
      </c>
    </row>
    <row r="103" spans="15:34" ht="15.75" x14ac:dyDescent="0.25">
      <c r="O103" s="58"/>
      <c r="Q103" s="3" t="s">
        <v>165</v>
      </c>
    </row>
    <row r="104" spans="15:34" ht="15.75" x14ac:dyDescent="0.25">
      <c r="O104" s="58"/>
      <c r="Q104" s="3" t="s">
        <v>166</v>
      </c>
    </row>
    <row r="105" spans="15:34" ht="15.75" x14ac:dyDescent="0.25">
      <c r="O105" s="58"/>
      <c r="Q105" s="3" t="s">
        <v>167</v>
      </c>
    </row>
    <row r="106" spans="15:34" ht="15.75" x14ac:dyDescent="0.25">
      <c r="O106" s="58"/>
      <c r="Q106" s="3" t="s">
        <v>168</v>
      </c>
    </row>
    <row r="107" spans="15:34" ht="15.75" x14ac:dyDescent="0.25">
      <c r="O107" s="58"/>
      <c r="Q107" s="3" t="s">
        <v>169</v>
      </c>
    </row>
    <row r="108" spans="15:34" ht="15.75" x14ac:dyDescent="0.25">
      <c r="O108" s="58"/>
      <c r="Q108" s="3" t="s">
        <v>170</v>
      </c>
    </row>
    <row r="109" spans="15:34" ht="15.75" x14ac:dyDescent="0.25">
      <c r="O109" s="58"/>
      <c r="Q109" s="3" t="s">
        <v>171</v>
      </c>
    </row>
    <row r="110" spans="15:34" ht="15.75" x14ac:dyDescent="0.25">
      <c r="O110" s="58"/>
      <c r="Q110" s="3" t="s">
        <v>172</v>
      </c>
    </row>
    <row r="111" spans="15:34" ht="15.75" x14ac:dyDescent="0.25">
      <c r="O111" s="58"/>
      <c r="Q111" s="3" t="s">
        <v>173</v>
      </c>
    </row>
    <row r="112" spans="15:34" ht="15.75" x14ac:dyDescent="0.25">
      <c r="O112" s="58"/>
      <c r="Q112" s="3" t="s">
        <v>174</v>
      </c>
    </row>
    <row r="113" spans="15:17" ht="15.75" x14ac:dyDescent="0.25">
      <c r="O113" s="58"/>
      <c r="Q113" s="3" t="s">
        <v>175</v>
      </c>
    </row>
    <row r="114" spans="15:17" ht="15.75" x14ac:dyDescent="0.25">
      <c r="O114" s="58"/>
      <c r="Q114" s="3" t="s">
        <v>176</v>
      </c>
    </row>
    <row r="115" spans="15:17" ht="15.75" x14ac:dyDescent="0.25">
      <c r="O115" s="58"/>
      <c r="Q115" s="3" t="s">
        <v>177</v>
      </c>
    </row>
    <row r="116" spans="15:17" ht="15.75" x14ac:dyDescent="0.25">
      <c r="O116" s="58"/>
      <c r="Q116" s="3" t="s">
        <v>178</v>
      </c>
    </row>
    <row r="117" spans="15:17" ht="15.75" x14ac:dyDescent="0.25">
      <c r="O117" s="58"/>
      <c r="Q117" s="3" t="s">
        <v>179</v>
      </c>
    </row>
    <row r="118" spans="15:17" ht="15.75" x14ac:dyDescent="0.25">
      <c r="O118" s="58"/>
      <c r="Q118" s="3" t="s">
        <v>180</v>
      </c>
    </row>
    <row r="119" spans="15:17" ht="15.75" x14ac:dyDescent="0.25">
      <c r="O119" s="58"/>
      <c r="Q119" s="3" t="s">
        <v>181</v>
      </c>
    </row>
    <row r="120" spans="15:17" ht="15.75" x14ac:dyDescent="0.25">
      <c r="O120" s="58"/>
      <c r="Q120" s="3" t="s">
        <v>182</v>
      </c>
    </row>
    <row r="121" spans="15:17" ht="15.75" x14ac:dyDescent="0.25">
      <c r="O121" s="58"/>
      <c r="Q121" s="3" t="s">
        <v>183</v>
      </c>
    </row>
    <row r="122" spans="15:17" ht="15.75" x14ac:dyDescent="0.25">
      <c r="O122" s="58"/>
      <c r="Q122" s="3" t="s">
        <v>184</v>
      </c>
    </row>
    <row r="123" spans="15:17" ht="15.75" x14ac:dyDescent="0.25">
      <c r="O123" s="58"/>
      <c r="Q123" s="3" t="s">
        <v>185</v>
      </c>
    </row>
    <row r="124" spans="15:17" ht="15.75" x14ac:dyDescent="0.25">
      <c r="O124" s="58"/>
      <c r="Q124" s="3" t="s">
        <v>186</v>
      </c>
    </row>
    <row r="125" spans="15:17" ht="15.75" x14ac:dyDescent="0.25">
      <c r="O125" s="58"/>
      <c r="Q125" s="3" t="s">
        <v>187</v>
      </c>
    </row>
    <row r="126" spans="15:17" ht="15.75" x14ac:dyDescent="0.25">
      <c r="O126" s="58"/>
      <c r="Q126" s="3" t="s">
        <v>188</v>
      </c>
    </row>
    <row r="127" spans="15:17" ht="15.75" x14ac:dyDescent="0.25">
      <c r="O127" s="58"/>
      <c r="Q127" s="3" t="s">
        <v>189</v>
      </c>
    </row>
    <row r="128" spans="15:17" ht="15.75" x14ac:dyDescent="0.25">
      <c r="O128" s="58"/>
      <c r="Q128" s="3" t="s">
        <v>190</v>
      </c>
    </row>
    <row r="129" spans="15:17" ht="15.75" x14ac:dyDescent="0.25">
      <c r="O129" s="58"/>
      <c r="Q129" s="3" t="s">
        <v>191</v>
      </c>
    </row>
    <row r="130" spans="15:17" ht="15.75" x14ac:dyDescent="0.25">
      <c r="O130" s="58"/>
      <c r="Q130" s="3" t="s">
        <v>192</v>
      </c>
    </row>
    <row r="131" spans="15:17" ht="15.75" x14ac:dyDescent="0.25">
      <c r="O131" s="58"/>
      <c r="Q131" s="3" t="s">
        <v>193</v>
      </c>
    </row>
    <row r="132" spans="15:17" ht="15.75" x14ac:dyDescent="0.25">
      <c r="O132" s="58"/>
      <c r="Q132" s="3" t="s">
        <v>194</v>
      </c>
    </row>
    <row r="133" spans="15:17" ht="15.75" x14ac:dyDescent="0.25">
      <c r="O133" s="58"/>
      <c r="Q133" s="3" t="s">
        <v>195</v>
      </c>
    </row>
    <row r="134" spans="15:17" ht="15.75" x14ac:dyDescent="0.25">
      <c r="O134" s="58"/>
      <c r="Q134" s="3" t="s">
        <v>196</v>
      </c>
    </row>
    <row r="135" spans="15:17" ht="15.75" x14ac:dyDescent="0.25">
      <c r="O135" s="58"/>
      <c r="Q135" s="3" t="s">
        <v>197</v>
      </c>
    </row>
    <row r="136" spans="15:17" ht="15.75" x14ac:dyDescent="0.25">
      <c r="O136" s="58"/>
      <c r="Q136" s="3" t="s">
        <v>198</v>
      </c>
    </row>
    <row r="137" spans="15:17" ht="15.75" x14ac:dyDescent="0.25">
      <c r="O137" s="58"/>
      <c r="Q137" s="3" t="s">
        <v>199</v>
      </c>
    </row>
    <row r="138" spans="15:17" ht="15.75" x14ac:dyDescent="0.25">
      <c r="O138" s="58"/>
      <c r="Q138" s="3" t="s">
        <v>200</v>
      </c>
    </row>
    <row r="139" spans="15:17" ht="15.75" x14ac:dyDescent="0.25">
      <c r="O139" s="58"/>
      <c r="Q139" s="3" t="s">
        <v>201</v>
      </c>
    </row>
    <row r="140" spans="15:17" ht="15.75" x14ac:dyDescent="0.25">
      <c r="O140" s="58"/>
      <c r="Q140" s="3" t="s">
        <v>202</v>
      </c>
    </row>
    <row r="141" spans="15:17" ht="15.75" x14ac:dyDescent="0.25">
      <c r="O141" s="58"/>
      <c r="Q141" s="3" t="s">
        <v>203</v>
      </c>
    </row>
    <row r="142" spans="15:17" ht="15.75" x14ac:dyDescent="0.25">
      <c r="O142" s="58"/>
      <c r="Q142" s="3" t="s">
        <v>204</v>
      </c>
    </row>
    <row r="143" spans="15:17" ht="15.75" x14ac:dyDescent="0.25">
      <c r="O143" s="58"/>
      <c r="Q143" s="3" t="s">
        <v>205</v>
      </c>
    </row>
    <row r="144" spans="15:17" ht="15.75" x14ac:dyDescent="0.25">
      <c r="O144" s="58"/>
      <c r="Q144" s="3" t="s">
        <v>206</v>
      </c>
    </row>
    <row r="145" spans="15:17" ht="15.75" x14ac:dyDescent="0.25">
      <c r="O145" s="58"/>
      <c r="Q145" s="3" t="s">
        <v>207</v>
      </c>
    </row>
    <row r="146" spans="15:17" ht="15.75" x14ac:dyDescent="0.25">
      <c r="O146" s="58"/>
      <c r="Q146" s="3" t="s">
        <v>208</v>
      </c>
    </row>
    <row r="147" spans="15:17" ht="15.75" x14ac:dyDescent="0.25">
      <c r="O147" s="58"/>
      <c r="Q147" s="3" t="s">
        <v>209</v>
      </c>
    </row>
    <row r="148" spans="15:17" ht="15.75" x14ac:dyDescent="0.25">
      <c r="O148" s="58"/>
      <c r="Q148" s="3" t="s">
        <v>210</v>
      </c>
    </row>
    <row r="149" spans="15:17" ht="15.75" x14ac:dyDescent="0.25">
      <c r="O149" s="58"/>
      <c r="Q149" s="3" t="s">
        <v>211</v>
      </c>
    </row>
    <row r="150" spans="15:17" ht="15.75" x14ac:dyDescent="0.25">
      <c r="O150" s="58"/>
      <c r="Q150" s="3" t="s">
        <v>212</v>
      </c>
    </row>
    <row r="151" spans="15:17" ht="15.75" x14ac:dyDescent="0.25">
      <c r="O151" s="58"/>
      <c r="Q151" s="3" t="s">
        <v>213</v>
      </c>
    </row>
    <row r="152" spans="15:17" ht="15.75" x14ac:dyDescent="0.25">
      <c r="O152" s="58"/>
      <c r="Q152" s="3" t="s">
        <v>214</v>
      </c>
    </row>
    <row r="153" spans="15:17" ht="15.75" x14ac:dyDescent="0.25">
      <c r="O153" s="58"/>
      <c r="Q153" s="3" t="s">
        <v>215</v>
      </c>
    </row>
    <row r="154" spans="15:17" ht="15.75" x14ac:dyDescent="0.25">
      <c r="O154" s="58"/>
      <c r="Q154" s="3" t="s">
        <v>216</v>
      </c>
    </row>
    <row r="155" spans="15:17" ht="15.75" x14ac:dyDescent="0.25">
      <c r="O155" s="58"/>
      <c r="Q155" s="3" t="s">
        <v>217</v>
      </c>
    </row>
    <row r="156" spans="15:17" ht="15.75" x14ac:dyDescent="0.25">
      <c r="O156" s="58"/>
      <c r="Q156" s="3" t="s">
        <v>218</v>
      </c>
    </row>
    <row r="157" spans="15:17" ht="15.75" x14ac:dyDescent="0.25">
      <c r="O157" s="58"/>
      <c r="Q157" s="3" t="s">
        <v>219</v>
      </c>
    </row>
    <row r="158" spans="15:17" ht="15.75" x14ac:dyDescent="0.25">
      <c r="O158" s="58"/>
      <c r="Q158" s="3" t="s">
        <v>220</v>
      </c>
    </row>
    <row r="159" spans="15:17" ht="15.75" x14ac:dyDescent="0.25">
      <c r="O159" s="58"/>
      <c r="Q159" s="3" t="s">
        <v>221</v>
      </c>
    </row>
    <row r="160" spans="15:17" ht="15.75" x14ac:dyDescent="0.25">
      <c r="O160" s="58"/>
      <c r="Q160" s="3" t="s">
        <v>222</v>
      </c>
    </row>
    <row r="161" spans="15:17" ht="15.75" x14ac:dyDescent="0.25">
      <c r="O161" s="58"/>
      <c r="Q161" s="3" t="s">
        <v>223</v>
      </c>
    </row>
    <row r="162" spans="15:17" ht="15.75" x14ac:dyDescent="0.25">
      <c r="O162" s="58"/>
      <c r="Q162" s="3" t="s">
        <v>224</v>
      </c>
    </row>
    <row r="163" spans="15:17" ht="15.75" x14ac:dyDescent="0.25">
      <c r="O163" s="58"/>
      <c r="Q163" s="3" t="s">
        <v>225</v>
      </c>
    </row>
    <row r="164" spans="15:17" ht="15.75" x14ac:dyDescent="0.25">
      <c r="O164" s="58"/>
      <c r="Q164" s="3" t="s">
        <v>226</v>
      </c>
    </row>
    <row r="165" spans="15:17" ht="15.75" x14ac:dyDescent="0.25">
      <c r="O165" s="58"/>
      <c r="Q165" s="3" t="s">
        <v>227</v>
      </c>
    </row>
    <row r="166" spans="15:17" ht="15.75" x14ac:dyDescent="0.25">
      <c r="O166" s="58"/>
      <c r="Q166" s="3" t="s">
        <v>228</v>
      </c>
    </row>
    <row r="167" spans="15:17" ht="15.75" x14ac:dyDescent="0.25">
      <c r="O167" s="58"/>
      <c r="Q167" s="3" t="s">
        <v>229</v>
      </c>
    </row>
    <row r="168" spans="15:17" ht="15.75" x14ac:dyDescent="0.25">
      <c r="O168" s="58"/>
      <c r="Q168" s="3" t="s">
        <v>230</v>
      </c>
    </row>
    <row r="169" spans="15:17" ht="15.75" x14ac:dyDescent="0.25">
      <c r="O169" s="58"/>
      <c r="Q169" s="3" t="s">
        <v>231</v>
      </c>
    </row>
    <row r="170" spans="15:17" ht="15.75" x14ac:dyDescent="0.25">
      <c r="O170" s="58"/>
      <c r="Q170" s="3" t="s">
        <v>232</v>
      </c>
    </row>
    <row r="171" spans="15:17" ht="15.75" x14ac:dyDescent="0.25">
      <c r="O171" s="58"/>
      <c r="Q171" s="3" t="s">
        <v>233</v>
      </c>
    </row>
    <row r="172" spans="15:17" ht="15.75" x14ac:dyDescent="0.25">
      <c r="O172" s="58"/>
      <c r="Q172" s="3" t="s">
        <v>234</v>
      </c>
    </row>
    <row r="173" spans="15:17" ht="15.75" x14ac:dyDescent="0.25">
      <c r="O173" s="58"/>
      <c r="Q173" s="3" t="s">
        <v>235</v>
      </c>
    </row>
    <row r="174" spans="15:17" ht="15.75" x14ac:dyDescent="0.25">
      <c r="O174" s="58"/>
      <c r="Q174" s="3" t="s">
        <v>236</v>
      </c>
    </row>
    <row r="175" spans="15:17" ht="15.75" x14ac:dyDescent="0.25">
      <c r="O175" s="58"/>
      <c r="Q175" s="3" t="s">
        <v>237</v>
      </c>
    </row>
    <row r="176" spans="15:17" ht="15.75" x14ac:dyDescent="0.25">
      <c r="O176" s="58"/>
      <c r="Q176" s="3" t="s">
        <v>238</v>
      </c>
    </row>
    <row r="177" spans="15:17" ht="15.75" x14ac:dyDescent="0.25">
      <c r="O177" s="58"/>
      <c r="Q177" s="3" t="s">
        <v>239</v>
      </c>
    </row>
    <row r="178" spans="15:17" ht="15.75" x14ac:dyDescent="0.25">
      <c r="O178" s="58"/>
      <c r="Q178" s="3" t="s">
        <v>240</v>
      </c>
    </row>
    <row r="179" spans="15:17" ht="15.75" x14ac:dyDescent="0.25">
      <c r="O179" s="58"/>
      <c r="Q179" s="3" t="s">
        <v>241</v>
      </c>
    </row>
    <row r="180" spans="15:17" ht="15.75" x14ac:dyDescent="0.25">
      <c r="O180" s="58"/>
      <c r="Q180" s="3" t="s">
        <v>242</v>
      </c>
    </row>
    <row r="181" spans="15:17" ht="15.75" x14ac:dyDescent="0.25">
      <c r="O181" s="58"/>
      <c r="Q181" s="3" t="s">
        <v>243</v>
      </c>
    </row>
    <row r="182" spans="15:17" ht="15.75" x14ac:dyDescent="0.25">
      <c r="O182" s="58"/>
      <c r="Q182" s="3" t="s">
        <v>244</v>
      </c>
    </row>
    <row r="183" spans="15:17" ht="15.75" x14ac:dyDescent="0.25">
      <c r="O183" s="58"/>
      <c r="Q183" s="3" t="s">
        <v>245</v>
      </c>
    </row>
    <row r="184" spans="15:17" ht="15.75" x14ac:dyDescent="0.25">
      <c r="O184" s="58"/>
      <c r="Q184" s="3" t="s">
        <v>246</v>
      </c>
    </row>
    <row r="185" spans="15:17" ht="15.75" x14ac:dyDescent="0.25">
      <c r="O185" s="58"/>
      <c r="Q185" s="3" t="s">
        <v>247</v>
      </c>
    </row>
    <row r="186" spans="15:17" ht="15.75" x14ac:dyDescent="0.25">
      <c r="O186" s="58"/>
      <c r="Q186" s="3" t="s">
        <v>248</v>
      </c>
    </row>
    <row r="187" spans="15:17" ht="15.75" x14ac:dyDescent="0.25">
      <c r="O187" s="58"/>
      <c r="Q187" s="3" t="s">
        <v>249</v>
      </c>
    </row>
    <row r="188" spans="15:17" ht="15.75" x14ac:dyDescent="0.25">
      <c r="O188" s="58"/>
      <c r="Q188" s="3" t="s">
        <v>250</v>
      </c>
    </row>
    <row r="189" spans="15:17" ht="15.75" x14ac:dyDescent="0.25">
      <c r="O189" s="58"/>
      <c r="Q189" s="3" t="s">
        <v>251</v>
      </c>
    </row>
    <row r="190" spans="15:17" ht="15.75" x14ac:dyDescent="0.25">
      <c r="O190" s="58"/>
      <c r="Q190" s="3" t="s">
        <v>252</v>
      </c>
    </row>
    <row r="191" spans="15:17" ht="15.75" x14ac:dyDescent="0.25">
      <c r="O191" s="58"/>
      <c r="Q191" s="3" t="s">
        <v>253</v>
      </c>
    </row>
    <row r="192" spans="15:17" ht="15.75" x14ac:dyDescent="0.25">
      <c r="O192" s="58"/>
      <c r="Q192" s="3" t="s">
        <v>254</v>
      </c>
    </row>
    <row r="193" spans="15:17" ht="15.75" x14ac:dyDescent="0.25">
      <c r="O193" s="58"/>
      <c r="Q193" s="3" t="s">
        <v>255</v>
      </c>
    </row>
    <row r="194" spans="15:17" ht="15.75" x14ac:dyDescent="0.25">
      <c r="O194" s="58"/>
      <c r="Q194" s="3" t="s">
        <v>256</v>
      </c>
    </row>
    <row r="195" spans="15:17" ht="15.75" x14ac:dyDescent="0.25">
      <c r="O195" s="58"/>
      <c r="Q195" s="3" t="s">
        <v>257</v>
      </c>
    </row>
    <row r="196" spans="15:17" ht="15.75" x14ac:dyDescent="0.25">
      <c r="O196" s="58"/>
      <c r="Q196" s="3" t="s">
        <v>258</v>
      </c>
    </row>
    <row r="197" spans="15:17" ht="15.75" x14ac:dyDescent="0.25">
      <c r="O197" s="58"/>
      <c r="Q197" s="3" t="s">
        <v>259</v>
      </c>
    </row>
    <row r="198" spans="15:17" ht="15.75" x14ac:dyDescent="0.25">
      <c r="O198" s="58"/>
      <c r="Q198" s="3" t="s">
        <v>260</v>
      </c>
    </row>
    <row r="199" spans="15:17" ht="15.75" x14ac:dyDescent="0.25">
      <c r="O199" s="58"/>
      <c r="Q199" s="3" t="s">
        <v>261</v>
      </c>
    </row>
    <row r="200" spans="15:17" ht="15.75" x14ac:dyDescent="0.25">
      <c r="O200" s="58"/>
      <c r="Q200" s="3" t="s">
        <v>262</v>
      </c>
    </row>
    <row r="201" spans="15:17" ht="15.75" x14ac:dyDescent="0.25">
      <c r="O201" s="58"/>
      <c r="Q201" s="3" t="s">
        <v>263</v>
      </c>
    </row>
    <row r="202" spans="15:17" ht="15.75" x14ac:dyDescent="0.25">
      <c r="O202" s="58"/>
      <c r="Q202" s="3" t="s">
        <v>264</v>
      </c>
    </row>
    <row r="203" spans="15:17" ht="15.75" x14ac:dyDescent="0.25">
      <c r="O203" s="58"/>
      <c r="Q203" s="3" t="s">
        <v>265</v>
      </c>
    </row>
    <row r="204" spans="15:17" ht="15.75" x14ac:dyDescent="0.25">
      <c r="O204" s="58"/>
      <c r="Q204" s="3" t="s">
        <v>266</v>
      </c>
    </row>
    <row r="205" spans="15:17" ht="15.75" x14ac:dyDescent="0.25">
      <c r="O205" s="58"/>
      <c r="Q205" s="3" t="s">
        <v>267</v>
      </c>
    </row>
    <row r="206" spans="15:17" ht="15.75" x14ac:dyDescent="0.25">
      <c r="O206" s="58"/>
      <c r="Q206" s="3" t="s">
        <v>268</v>
      </c>
    </row>
    <row r="207" spans="15:17" ht="15.75" x14ac:dyDescent="0.25">
      <c r="O207" s="58"/>
      <c r="Q207" s="3" t="s">
        <v>269</v>
      </c>
    </row>
    <row r="208" spans="15:17" ht="15.75" x14ac:dyDescent="0.25">
      <c r="O208" s="58"/>
      <c r="Q208" s="3" t="s">
        <v>270</v>
      </c>
    </row>
    <row r="209" spans="15:17" ht="15.75" x14ac:dyDescent="0.25">
      <c r="O209" s="58"/>
      <c r="Q209" s="3" t="s">
        <v>271</v>
      </c>
    </row>
    <row r="210" spans="15:17" ht="15.75" x14ac:dyDescent="0.25">
      <c r="O210" s="58"/>
      <c r="Q210" s="3" t="s">
        <v>272</v>
      </c>
    </row>
    <row r="211" spans="15:17" ht="15.75" x14ac:dyDescent="0.25">
      <c r="O211" s="58"/>
      <c r="Q211" s="3" t="s">
        <v>273</v>
      </c>
    </row>
    <row r="212" spans="15:17" ht="15.75" x14ac:dyDescent="0.25">
      <c r="O212" s="58"/>
      <c r="Q212" s="3" t="s">
        <v>274</v>
      </c>
    </row>
    <row r="213" spans="15:17" ht="15.75" x14ac:dyDescent="0.25">
      <c r="O213" s="58"/>
      <c r="Q213" s="3" t="s">
        <v>275</v>
      </c>
    </row>
    <row r="214" spans="15:17" ht="15.75" x14ac:dyDescent="0.25">
      <c r="O214" s="58"/>
      <c r="Q214" s="3" t="s">
        <v>276</v>
      </c>
    </row>
    <row r="215" spans="15:17" ht="15.75" x14ac:dyDescent="0.25">
      <c r="O215" s="58"/>
      <c r="Q215" s="3" t="s">
        <v>277</v>
      </c>
    </row>
    <row r="216" spans="15:17" ht="15.75" x14ac:dyDescent="0.25">
      <c r="O216" s="58"/>
      <c r="Q216" s="3" t="s">
        <v>278</v>
      </c>
    </row>
    <row r="217" spans="15:17" ht="15.75" x14ac:dyDescent="0.25">
      <c r="O217" s="58"/>
      <c r="Q217" s="3" t="s">
        <v>279</v>
      </c>
    </row>
    <row r="218" spans="15:17" ht="15.75" x14ac:dyDescent="0.25">
      <c r="O218" s="58"/>
      <c r="Q218" s="3" t="s">
        <v>280</v>
      </c>
    </row>
    <row r="219" spans="15:17" ht="15.75" x14ac:dyDescent="0.25">
      <c r="O219" s="58"/>
      <c r="Q219" s="3" t="s">
        <v>281</v>
      </c>
    </row>
    <row r="220" spans="15:17" ht="15.75" x14ac:dyDescent="0.25">
      <c r="O220" s="58"/>
      <c r="Q220" s="3" t="s">
        <v>282</v>
      </c>
    </row>
    <row r="221" spans="15:17" ht="15.75" x14ac:dyDescent="0.25">
      <c r="O221" s="58"/>
      <c r="Q221" s="3" t="s">
        <v>283</v>
      </c>
    </row>
    <row r="222" spans="15:17" ht="15.75" x14ac:dyDescent="0.25">
      <c r="O222" s="58"/>
      <c r="Q222" s="3" t="s">
        <v>284</v>
      </c>
    </row>
    <row r="223" spans="15:17" ht="15.75" x14ac:dyDescent="0.25">
      <c r="O223" s="58"/>
      <c r="Q223" s="3" t="s">
        <v>285</v>
      </c>
    </row>
    <row r="224" spans="15:17" ht="15.75" x14ac:dyDescent="0.25">
      <c r="O224" s="58"/>
      <c r="Q224" s="3" t="s">
        <v>286</v>
      </c>
    </row>
    <row r="225" spans="15:17" ht="15.75" x14ac:dyDescent="0.25">
      <c r="O225" s="58"/>
      <c r="Q225" s="3" t="s">
        <v>287</v>
      </c>
    </row>
    <row r="226" spans="15:17" ht="15.75" x14ac:dyDescent="0.25">
      <c r="O226" s="58"/>
      <c r="Q226" s="3" t="s">
        <v>288</v>
      </c>
    </row>
    <row r="227" spans="15:17" ht="15.75" x14ac:dyDescent="0.25">
      <c r="O227" s="58"/>
      <c r="Q227" s="3" t="s">
        <v>289</v>
      </c>
    </row>
    <row r="228" spans="15:17" ht="15.75" x14ac:dyDescent="0.25">
      <c r="O228" s="58"/>
      <c r="Q228" s="3" t="s">
        <v>290</v>
      </c>
    </row>
    <row r="229" spans="15:17" ht="15.75" x14ac:dyDescent="0.25">
      <c r="O229" s="58"/>
      <c r="Q229" s="3" t="s">
        <v>291</v>
      </c>
    </row>
    <row r="230" spans="15:17" ht="15.75" x14ac:dyDescent="0.25">
      <c r="O230" s="58"/>
      <c r="Q230" s="3" t="s">
        <v>292</v>
      </c>
    </row>
    <row r="231" spans="15:17" ht="15.75" x14ac:dyDescent="0.25">
      <c r="O231" s="58"/>
      <c r="Q231" s="3" t="s">
        <v>481</v>
      </c>
    </row>
    <row r="232" spans="15:17" ht="15.75" x14ac:dyDescent="0.25">
      <c r="O232" s="58"/>
      <c r="Q232" s="3" t="s">
        <v>293</v>
      </c>
    </row>
    <row r="233" spans="15:17" ht="15.75" x14ac:dyDescent="0.25">
      <c r="O233" s="58"/>
      <c r="Q233" s="3" t="s">
        <v>294</v>
      </c>
    </row>
    <row r="234" spans="15:17" ht="15.75" x14ac:dyDescent="0.25">
      <c r="O234" s="58"/>
      <c r="Q234" s="3" t="s">
        <v>295</v>
      </c>
    </row>
    <row r="235" spans="15:17" ht="15.75" x14ac:dyDescent="0.25">
      <c r="O235" s="58"/>
      <c r="Q235" s="3" t="s">
        <v>296</v>
      </c>
    </row>
    <row r="236" spans="15:17" ht="15.75" x14ac:dyDescent="0.25">
      <c r="O236" s="58"/>
      <c r="Q236" s="3" t="s">
        <v>297</v>
      </c>
    </row>
    <row r="237" spans="15:17" ht="15.75" x14ac:dyDescent="0.25">
      <c r="O237" s="58"/>
      <c r="Q237" s="3" t="s">
        <v>298</v>
      </c>
    </row>
    <row r="238" spans="15:17" ht="15.75" x14ac:dyDescent="0.25">
      <c r="O238" s="58"/>
      <c r="Q238" s="3" t="s">
        <v>299</v>
      </c>
    </row>
    <row r="239" spans="15:17" ht="15.75" x14ac:dyDescent="0.25">
      <c r="O239" s="58"/>
      <c r="Q239" s="3" t="s">
        <v>300</v>
      </c>
    </row>
    <row r="240" spans="15:17" ht="15.75" x14ac:dyDescent="0.25">
      <c r="O240" s="58"/>
      <c r="Q240" s="3" t="s">
        <v>301</v>
      </c>
    </row>
    <row r="241" spans="15:17" ht="15.75" x14ac:dyDescent="0.25">
      <c r="O241" s="58"/>
      <c r="Q241" s="3" t="s">
        <v>302</v>
      </c>
    </row>
    <row r="242" spans="15:17" ht="15.75" x14ac:dyDescent="0.25">
      <c r="O242" s="58"/>
      <c r="Q242" s="3" t="s">
        <v>303</v>
      </c>
    </row>
    <row r="243" spans="15:17" ht="15.75" x14ac:dyDescent="0.25">
      <c r="O243" s="58"/>
      <c r="Q243" s="3" t="s">
        <v>304</v>
      </c>
    </row>
    <row r="244" spans="15:17" ht="15.75" x14ac:dyDescent="0.25">
      <c r="O244" s="58"/>
      <c r="Q244" s="3" t="s">
        <v>305</v>
      </c>
    </row>
    <row r="245" spans="15:17" ht="15.75" x14ac:dyDescent="0.25">
      <c r="O245" s="58"/>
      <c r="Q245" s="3" t="s">
        <v>306</v>
      </c>
    </row>
    <row r="246" spans="15:17" ht="15.75" x14ac:dyDescent="0.25">
      <c r="O246" s="58"/>
      <c r="Q246" s="3" t="s">
        <v>307</v>
      </c>
    </row>
  </sheetData>
  <sheetProtection algorithmName="SHA-512" hashValue="2ESDpSeHQYeHD2ZMmRha473PGOxbCIf+6NH0OJawuQszqwBbUSt9KFM52euKuHltoDC4szjEHd9pqR0yeCMHqA==" saltValue="XulCTv4KGJnuBaaDsge/Rg==" spinCount="100000" sheet="1" objects="1" scenarios="1" selectLockedCells="1" selectUnlockedCells="1"/>
  <mergeCells count="1">
    <mergeCell ref="AP1:AV1"/>
  </mergeCells>
  <hyperlinks>
    <hyperlink ref="M25" r:id="rId1" tooltip="Dún Laoghaire–Rathdown" display="https://en.wikipedia.org/wiki/D%C3%BAn_Laoghaire%E2%80%93Rathdown"/>
    <hyperlink ref="M18" r:id="rId2" tooltip="South Dublin" display="https://en.wikipedia.org/wiki/South_Dublin"/>
  </hyperlinks>
  <pageMargins left="0.7" right="0.7" top="0.75" bottom="0.75" header="0.3" footer="0.3"/>
  <pageSetup paperSize="9" orientation="portrait" r:id="rId3"/>
  <headerFooter>
    <oddHeader>&amp;L&amp;"Times New Roman,Regular"&amp;12&amp;K000000 </oddHeader>
    <evenHeader>&amp;L&amp;"Times New Roman,Regular"&amp;12&amp;K000000 </evenHeader>
    <firstHeader>&amp;L&amp;"Times New Roman,Regular"&amp;12&amp;K000000 </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1:C18"/>
  <sheetViews>
    <sheetView showGridLines="0" showRowColHeaders="0" workbookViewId="0">
      <pane ySplit="2" topLeftCell="A3" activePane="bottomLeft" state="frozen"/>
      <selection activeCell="G29" sqref="G29"/>
      <selection pane="bottomLeft" activeCell="B6" sqref="B6"/>
    </sheetView>
  </sheetViews>
  <sheetFormatPr defaultRowHeight="15" x14ac:dyDescent="0.25"/>
  <cols>
    <col min="1" max="1" width="8.7109375" customWidth="1"/>
    <col min="2" max="2" width="25.7109375" customWidth="1"/>
    <col min="3" max="3" width="150.7109375" customWidth="1"/>
  </cols>
  <sheetData>
    <row r="1" spans="2:3" ht="15.75" thickBot="1" x14ac:dyDescent="0.3"/>
    <row r="2" spans="2:3" ht="32.1" customHeight="1" x14ac:dyDescent="0.25">
      <c r="B2" s="630" t="s">
        <v>834</v>
      </c>
      <c r="C2" s="631"/>
    </row>
    <row r="3" spans="2:3" s="12" customFormat="1" ht="32.1" customHeight="1" x14ac:dyDescent="0.25">
      <c r="B3" s="632" t="s">
        <v>566</v>
      </c>
      <c r="C3" s="633" t="s">
        <v>567</v>
      </c>
    </row>
    <row r="4" spans="2:3" s="12" customFormat="1" ht="32.1" customHeight="1" x14ac:dyDescent="0.25">
      <c r="B4" s="632" t="s">
        <v>568</v>
      </c>
      <c r="C4" s="629" t="s">
        <v>569</v>
      </c>
    </row>
    <row r="5" spans="2:3" s="12" customFormat="1" ht="32.1" customHeight="1" x14ac:dyDescent="0.25">
      <c r="B5" s="632" t="s">
        <v>570</v>
      </c>
      <c r="C5" s="629" t="s">
        <v>571</v>
      </c>
    </row>
    <row r="6" spans="2:3" s="12" customFormat="1" ht="32.1" customHeight="1" x14ac:dyDescent="0.25">
      <c r="B6" s="632" t="s">
        <v>849</v>
      </c>
      <c r="C6" s="629" t="s">
        <v>845</v>
      </c>
    </row>
    <row r="7" spans="2:3" s="12" customFormat="1" ht="32.1" customHeight="1" x14ac:dyDescent="0.25">
      <c r="B7" s="632" t="s">
        <v>572</v>
      </c>
      <c r="C7" s="633" t="s">
        <v>573</v>
      </c>
    </row>
    <row r="8" spans="2:3" s="12" customFormat="1" ht="32.1" customHeight="1" x14ac:dyDescent="0.25">
      <c r="B8" s="632" t="s">
        <v>574</v>
      </c>
      <c r="C8" s="633" t="s">
        <v>575</v>
      </c>
    </row>
    <row r="9" spans="2:3" s="12" customFormat="1" ht="32.1" customHeight="1" x14ac:dyDescent="0.25">
      <c r="B9" s="632" t="s">
        <v>576</v>
      </c>
      <c r="C9" s="633" t="s">
        <v>577</v>
      </c>
    </row>
    <row r="10" spans="2:3" s="12" customFormat="1" ht="32.1" customHeight="1" x14ac:dyDescent="0.25">
      <c r="B10" s="632" t="s">
        <v>578</v>
      </c>
      <c r="C10" s="633" t="s">
        <v>831</v>
      </c>
    </row>
    <row r="11" spans="2:3" s="12" customFormat="1" ht="32.1" customHeight="1" x14ac:dyDescent="0.25">
      <c r="B11" s="632" t="s">
        <v>579</v>
      </c>
      <c r="C11" s="633" t="s">
        <v>580</v>
      </c>
    </row>
    <row r="12" spans="2:3" s="12" customFormat="1" ht="32.1" customHeight="1" x14ac:dyDescent="0.25">
      <c r="B12" s="632" t="s">
        <v>581</v>
      </c>
      <c r="C12" s="633" t="s">
        <v>582</v>
      </c>
    </row>
    <row r="13" spans="2:3" s="12" customFormat="1" ht="32.1" customHeight="1" x14ac:dyDescent="0.25">
      <c r="B13" s="632" t="s">
        <v>583</v>
      </c>
      <c r="C13" s="633" t="s">
        <v>584</v>
      </c>
    </row>
    <row r="14" spans="2:3" s="12" customFormat="1" ht="32.1" customHeight="1" x14ac:dyDescent="0.25">
      <c r="B14" s="632" t="s">
        <v>585</v>
      </c>
      <c r="C14" s="633" t="s">
        <v>586</v>
      </c>
    </row>
    <row r="15" spans="2:3" s="12" customFormat="1" ht="32.1" customHeight="1" x14ac:dyDescent="0.25">
      <c r="B15" s="632" t="s">
        <v>611</v>
      </c>
      <c r="C15" s="633" t="s">
        <v>612</v>
      </c>
    </row>
    <row r="16" spans="2:3" s="12" customFormat="1" ht="32.1" customHeight="1" x14ac:dyDescent="0.25">
      <c r="B16" s="632" t="s">
        <v>587</v>
      </c>
      <c r="C16" s="633" t="s">
        <v>588</v>
      </c>
    </row>
    <row r="17" spans="2:3" s="12" customFormat="1" ht="32.1" customHeight="1" x14ac:dyDescent="0.25">
      <c r="B17" s="632" t="s">
        <v>589</v>
      </c>
      <c r="C17" s="633" t="s">
        <v>590</v>
      </c>
    </row>
    <row r="18" spans="2:3" s="12" customFormat="1" ht="159.94999999999999" customHeight="1" thickBot="1" x14ac:dyDescent="0.3">
      <c r="B18" s="275" t="s">
        <v>591</v>
      </c>
      <c r="C18" s="634" t="s">
        <v>840</v>
      </c>
    </row>
  </sheetData>
  <sheetProtection algorithmName="SHA-512" hashValue="9j8nxnmx8gZt+2IKuoyPiqpN5+NljxdY/p6vgh+4kVM/O2pxACiSBPYjM0e53fUgHD0RJ6sXC1hsF74CkP7HPg==" saltValue="T6TEFqWWdCvDLyCRCVBu+A==" spinCount="100000" sheet="1" objects="1" scenarios="1" selectLockedCells="1" selectUnlockedCells="1"/>
  <pageMargins left="0.7" right="0.7" top="0.75" bottom="0.75" header="0.3" footer="0.3"/>
  <pageSetup paperSize="9" orientation="landscape" r:id="rId1"/>
  <headerFooter>
    <oddHeader>&amp;L&amp;"Times New Roman,Regular"&amp;12&amp;K000000 </oddHeader>
    <evenHeader>&amp;L&amp;"Times New Roman,Regular"&amp;12&amp;K000000 </evenHeader>
    <firstHeader>&amp;L&amp;"Times New Roman,Regular"&amp;12&amp;K000000 </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G77"/>
  <sheetViews>
    <sheetView showGridLines="0" showRowColHeaders="0" zoomScale="90" zoomScaleNormal="90" workbookViewId="0">
      <selection activeCell="D6" sqref="D6"/>
    </sheetView>
  </sheetViews>
  <sheetFormatPr defaultColWidth="9.140625" defaultRowHeight="14.25" x14ac:dyDescent="0.2"/>
  <cols>
    <col min="1" max="1" width="10.7109375" style="1" customWidth="1"/>
    <col min="2" max="2" width="14.5703125" style="1" customWidth="1"/>
    <col min="3" max="3" width="34.140625" style="1" customWidth="1"/>
    <col min="4" max="4" width="53.140625" style="1" customWidth="1"/>
    <col min="5" max="5" width="22.85546875" style="1" customWidth="1"/>
    <col min="6" max="6" width="20.85546875" style="1" customWidth="1"/>
    <col min="7" max="7" width="5.42578125" style="1" customWidth="1"/>
    <col min="8" max="8" width="15.7109375" style="1" hidden="1" customWidth="1"/>
    <col min="9" max="16384" width="9.140625" style="1"/>
  </cols>
  <sheetData>
    <row r="1" spans="1:33" ht="20.25" thickBot="1" x14ac:dyDescent="0.3">
      <c r="A1" s="500" t="s">
        <v>751</v>
      </c>
      <c r="B1" s="501"/>
      <c r="C1" s="501"/>
      <c r="D1" s="501"/>
      <c r="E1" s="501"/>
      <c r="F1" s="501"/>
      <c r="G1" s="501"/>
      <c r="H1" s="502"/>
      <c r="I1" s="501"/>
      <c r="J1" s="501"/>
      <c r="K1" s="501"/>
      <c r="L1" s="501"/>
      <c r="M1" s="501"/>
      <c r="N1" s="501"/>
      <c r="O1" s="501"/>
      <c r="P1" s="501"/>
      <c r="Q1" s="501"/>
      <c r="R1" s="501"/>
      <c r="S1" s="501"/>
      <c r="T1" s="501"/>
      <c r="U1" s="501"/>
      <c r="V1" s="501"/>
      <c r="W1" s="501"/>
      <c r="X1" s="501"/>
      <c r="Y1" s="501"/>
      <c r="Z1" s="501"/>
      <c r="AA1" s="501"/>
      <c r="AB1" s="501"/>
      <c r="AC1" s="501"/>
      <c r="AD1" s="501"/>
      <c r="AE1" s="501"/>
      <c r="AF1" s="501"/>
      <c r="AG1" s="501"/>
    </row>
    <row r="2" spans="1:33" ht="32.1" customHeight="1" thickBot="1" x14ac:dyDescent="0.25">
      <c r="A2" s="501"/>
      <c r="B2" s="644" t="s">
        <v>853</v>
      </c>
      <c r="C2" s="645"/>
      <c r="D2" s="645"/>
      <c r="E2" s="645"/>
      <c r="F2" s="646"/>
      <c r="G2" s="501"/>
      <c r="H2" s="502"/>
      <c r="I2" s="501"/>
      <c r="J2" s="501"/>
      <c r="K2" s="501"/>
      <c r="L2" s="501"/>
      <c r="M2" s="501"/>
      <c r="N2" s="501"/>
      <c r="O2" s="501"/>
      <c r="P2" s="501"/>
      <c r="Q2" s="501"/>
      <c r="R2" s="501"/>
      <c r="S2" s="501"/>
      <c r="T2" s="501"/>
      <c r="U2" s="501"/>
      <c r="V2" s="501"/>
      <c r="W2" s="501"/>
      <c r="X2" s="501"/>
      <c r="Y2" s="501"/>
      <c r="Z2" s="501"/>
      <c r="AA2" s="501"/>
      <c r="AB2" s="501"/>
      <c r="AC2" s="501"/>
      <c r="AD2" s="501"/>
      <c r="AE2" s="501"/>
      <c r="AF2" s="501"/>
      <c r="AG2" s="501"/>
    </row>
    <row r="3" spans="1:33" ht="15.75" thickBot="1" x14ac:dyDescent="0.25">
      <c r="A3" s="501"/>
      <c r="B3" s="647"/>
      <c r="C3" s="647"/>
      <c r="D3" s="647"/>
      <c r="E3" s="647"/>
      <c r="F3" s="647"/>
      <c r="G3" s="503"/>
      <c r="H3" s="504" t="s">
        <v>752</v>
      </c>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row>
    <row r="4" spans="1:33" ht="22.5" x14ac:dyDescent="0.3">
      <c r="A4" s="501"/>
      <c r="B4" s="505"/>
      <c r="C4" s="506"/>
      <c r="D4" s="506"/>
      <c r="E4" s="507" t="str">
        <f>IF(COUNTIF(E8:E41, "Invalid") = 0, "Valid", "Invalid" )</f>
        <v>Invalid</v>
      </c>
      <c r="F4" s="508"/>
      <c r="G4" s="509"/>
      <c r="H4" s="510" t="s">
        <v>753</v>
      </c>
      <c r="I4" s="509"/>
      <c r="J4" s="509"/>
      <c r="K4" s="509"/>
      <c r="L4" s="509"/>
      <c r="M4" s="509"/>
      <c r="N4" s="509"/>
      <c r="O4" s="509"/>
      <c r="P4" s="509"/>
      <c r="Q4" s="509"/>
      <c r="R4" s="509"/>
      <c r="S4" s="509"/>
      <c r="T4" s="509"/>
      <c r="U4" s="509"/>
      <c r="V4" s="509"/>
      <c r="W4" s="509"/>
      <c r="X4" s="509"/>
      <c r="Y4" s="509"/>
      <c r="Z4" s="509"/>
      <c r="AA4" s="509"/>
      <c r="AB4" s="509"/>
      <c r="AC4" s="509"/>
      <c r="AD4" s="509"/>
      <c r="AE4" s="509"/>
      <c r="AF4" s="509"/>
      <c r="AG4" s="509"/>
    </row>
    <row r="5" spans="1:33" ht="22.5" x14ac:dyDescent="0.3">
      <c r="A5" s="501"/>
      <c r="B5" s="511"/>
      <c r="C5" s="512" t="s">
        <v>754</v>
      </c>
      <c r="D5" s="512" t="s">
        <v>755</v>
      </c>
      <c r="E5" s="513" t="s">
        <v>756</v>
      </c>
      <c r="F5" s="514" t="s">
        <v>756</v>
      </c>
      <c r="G5" s="509"/>
      <c r="H5" s="510"/>
      <c r="I5" s="509"/>
      <c r="J5" s="509"/>
      <c r="K5" s="509"/>
      <c r="L5" s="509"/>
      <c r="M5" s="509"/>
      <c r="N5" s="509"/>
      <c r="O5" s="509"/>
      <c r="P5" s="509"/>
      <c r="Q5" s="509"/>
      <c r="R5" s="509"/>
      <c r="S5" s="509"/>
      <c r="T5" s="509"/>
      <c r="U5" s="509"/>
      <c r="V5" s="509"/>
      <c r="W5" s="509"/>
      <c r="X5" s="509"/>
      <c r="Y5" s="509"/>
      <c r="Z5" s="509"/>
      <c r="AA5" s="509"/>
      <c r="AB5" s="509"/>
      <c r="AC5" s="509"/>
      <c r="AD5" s="509"/>
      <c r="AE5" s="509"/>
      <c r="AF5" s="509"/>
      <c r="AG5" s="509"/>
    </row>
    <row r="6" spans="1:33" ht="15" x14ac:dyDescent="0.2">
      <c r="A6" s="501"/>
      <c r="B6" s="515"/>
      <c r="C6" s="512" t="s">
        <v>757</v>
      </c>
      <c r="D6" s="516" t="s">
        <v>758</v>
      </c>
      <c r="E6" s="513" t="str">
        <f>'1. Applicant Firm Details'!M11</f>
        <v>Invalid</v>
      </c>
      <c r="F6" s="517">
        <f t="shared" ref="F6:F12" si="0">IF(E6="Valid",1,0)</f>
        <v>0</v>
      </c>
      <c r="G6" s="509"/>
      <c r="H6" s="502"/>
      <c r="I6" s="509"/>
      <c r="J6" s="509"/>
      <c r="K6" s="509"/>
      <c r="L6" s="509"/>
      <c r="M6" s="509"/>
      <c r="N6" s="509"/>
      <c r="O6" s="509"/>
      <c r="P6" s="509"/>
      <c r="Q6" s="509"/>
      <c r="R6" s="509"/>
      <c r="S6" s="509"/>
      <c r="T6" s="509"/>
      <c r="U6" s="509"/>
      <c r="V6" s="509"/>
      <c r="W6" s="509"/>
      <c r="X6" s="509"/>
      <c r="Y6" s="509"/>
      <c r="Z6" s="509"/>
      <c r="AA6" s="509"/>
      <c r="AB6" s="509"/>
      <c r="AC6" s="509"/>
      <c r="AD6" s="509"/>
      <c r="AE6" s="509"/>
      <c r="AF6" s="509"/>
      <c r="AG6" s="509"/>
    </row>
    <row r="7" spans="1:33" ht="15" x14ac:dyDescent="0.2">
      <c r="A7" s="501"/>
      <c r="B7" s="515"/>
      <c r="C7" s="512"/>
      <c r="D7" s="516" t="s">
        <v>759</v>
      </c>
      <c r="E7" s="513" t="str">
        <f>'1. Applicant Firm Details'!M48</f>
        <v>Invalid</v>
      </c>
      <c r="F7" s="517">
        <f t="shared" si="0"/>
        <v>0</v>
      </c>
      <c r="G7" s="509"/>
      <c r="H7" s="502"/>
      <c r="I7" s="509"/>
      <c r="J7" s="509"/>
      <c r="K7" s="509"/>
      <c r="L7" s="509"/>
      <c r="M7" s="509"/>
      <c r="N7" s="509"/>
      <c r="O7" s="509"/>
      <c r="P7" s="509"/>
      <c r="Q7" s="509"/>
      <c r="R7" s="509"/>
      <c r="S7" s="509"/>
      <c r="T7" s="509"/>
      <c r="U7" s="509"/>
      <c r="V7" s="509"/>
      <c r="W7" s="509"/>
      <c r="X7" s="509"/>
      <c r="Y7" s="509"/>
      <c r="Z7" s="509"/>
      <c r="AA7" s="509"/>
      <c r="AB7" s="509"/>
      <c r="AC7" s="509"/>
      <c r="AD7" s="509"/>
      <c r="AE7" s="509"/>
      <c r="AF7" s="509"/>
      <c r="AG7" s="509"/>
    </row>
    <row r="8" spans="1:33" ht="15" x14ac:dyDescent="0.2">
      <c r="A8" s="501"/>
      <c r="B8" s="515"/>
      <c r="C8" s="518"/>
      <c r="D8" s="518" t="s">
        <v>760</v>
      </c>
      <c r="E8" s="513" t="str">
        <f>'1. Applicant Firm Details'!M108</f>
        <v>Invalid</v>
      </c>
      <c r="F8" s="517">
        <f t="shared" si="0"/>
        <v>0</v>
      </c>
      <c r="G8" s="509"/>
      <c r="H8" s="502"/>
      <c r="I8" s="509"/>
      <c r="J8" s="509"/>
      <c r="K8" s="509"/>
      <c r="L8" s="509"/>
      <c r="M8" s="509"/>
      <c r="N8" s="509"/>
      <c r="O8" s="509"/>
      <c r="P8" s="509"/>
      <c r="Q8" s="509"/>
      <c r="R8" s="509"/>
      <c r="S8" s="509"/>
      <c r="T8" s="509"/>
      <c r="U8" s="509"/>
      <c r="V8" s="509"/>
      <c r="W8" s="509"/>
      <c r="X8" s="509"/>
      <c r="Y8" s="509"/>
      <c r="Z8" s="509"/>
      <c r="AA8" s="509"/>
      <c r="AB8" s="509"/>
      <c r="AC8" s="509"/>
      <c r="AD8" s="509"/>
      <c r="AE8" s="509"/>
      <c r="AF8" s="509"/>
      <c r="AG8" s="509"/>
    </row>
    <row r="9" spans="1:33" ht="15" x14ac:dyDescent="0.2">
      <c r="A9" s="501"/>
      <c r="B9" s="515"/>
      <c r="C9" s="518"/>
      <c r="D9" s="518" t="s">
        <v>761</v>
      </c>
      <c r="E9" s="513" t="str">
        <f>'1. Applicant Firm Details'!M118</f>
        <v>Invalid</v>
      </c>
      <c r="F9" s="517">
        <f t="shared" si="0"/>
        <v>0</v>
      </c>
      <c r="G9" s="509"/>
      <c r="H9" s="502"/>
      <c r="I9" s="509"/>
      <c r="J9" s="509"/>
      <c r="K9" s="509"/>
      <c r="L9" s="509"/>
      <c r="M9" s="509"/>
      <c r="N9" s="509"/>
      <c r="O9" s="509"/>
      <c r="P9" s="509"/>
      <c r="Q9" s="509"/>
      <c r="R9" s="509"/>
      <c r="S9" s="509"/>
      <c r="T9" s="509"/>
      <c r="U9" s="509"/>
      <c r="V9" s="509"/>
      <c r="W9" s="509"/>
      <c r="X9" s="509"/>
      <c r="Y9" s="509"/>
      <c r="Z9" s="509"/>
      <c r="AA9" s="509"/>
      <c r="AB9" s="509"/>
      <c r="AC9" s="509"/>
      <c r="AD9" s="509"/>
      <c r="AE9" s="509"/>
      <c r="AF9" s="509"/>
      <c r="AG9" s="509"/>
    </row>
    <row r="10" spans="1:33" ht="15" x14ac:dyDescent="0.2">
      <c r="A10" s="501"/>
      <c r="B10" s="515"/>
      <c r="C10" s="518"/>
      <c r="D10" s="518" t="s">
        <v>762</v>
      </c>
      <c r="E10" s="513" t="str">
        <f>'1. Applicant Firm Details'!M138</f>
        <v>Invalid</v>
      </c>
      <c r="F10" s="517">
        <f t="shared" si="0"/>
        <v>0</v>
      </c>
      <c r="G10" s="509"/>
      <c r="H10" s="502"/>
      <c r="I10" s="509"/>
      <c r="J10" s="509"/>
      <c r="K10" s="509"/>
      <c r="L10" s="509"/>
      <c r="M10" s="509"/>
      <c r="N10" s="509"/>
      <c r="O10" s="509"/>
      <c r="P10" s="509"/>
      <c r="Q10" s="509"/>
      <c r="R10" s="509"/>
      <c r="S10" s="509"/>
      <c r="T10" s="509"/>
      <c r="U10" s="509"/>
      <c r="V10" s="509"/>
      <c r="W10" s="509"/>
      <c r="X10" s="509"/>
      <c r="Y10" s="509"/>
      <c r="Z10" s="509"/>
      <c r="AA10" s="509"/>
      <c r="AB10" s="509"/>
      <c r="AC10" s="509"/>
      <c r="AD10" s="509"/>
      <c r="AE10" s="509"/>
      <c r="AF10" s="509"/>
      <c r="AG10" s="509"/>
    </row>
    <row r="11" spans="1:33" ht="15" x14ac:dyDescent="0.2">
      <c r="A11" s="501"/>
      <c r="B11" s="515"/>
      <c r="C11" s="518"/>
      <c r="D11" s="518" t="s">
        <v>763</v>
      </c>
      <c r="E11" s="513" t="str">
        <f>'1. Applicant Firm Details'!M154</f>
        <v>Invalid</v>
      </c>
      <c r="F11" s="517">
        <f t="shared" si="0"/>
        <v>0</v>
      </c>
      <c r="G11" s="509"/>
      <c r="H11" s="502"/>
      <c r="I11" s="509"/>
      <c r="J11" s="509"/>
      <c r="K11" s="509"/>
      <c r="L11" s="509"/>
      <c r="M11" s="509"/>
      <c r="N11" s="509"/>
      <c r="O11" s="509"/>
      <c r="P11" s="509"/>
      <c r="Q11" s="509"/>
      <c r="R11" s="509"/>
      <c r="S11" s="509"/>
      <c r="T11" s="509"/>
      <c r="U11" s="509"/>
      <c r="V11" s="509"/>
      <c r="W11" s="509"/>
      <c r="X11" s="509"/>
      <c r="Y11" s="509"/>
      <c r="Z11" s="509"/>
      <c r="AA11" s="509"/>
      <c r="AB11" s="509"/>
      <c r="AC11" s="509"/>
      <c r="AD11" s="509"/>
      <c r="AE11" s="509"/>
      <c r="AF11" s="509"/>
      <c r="AG11" s="509"/>
    </row>
    <row r="12" spans="1:33" ht="15" x14ac:dyDescent="0.2">
      <c r="A12" s="501"/>
      <c r="B12" s="515"/>
      <c r="C12" s="518"/>
      <c r="D12" s="518" t="s">
        <v>764</v>
      </c>
      <c r="E12" s="513" t="str">
        <f>'1. Applicant Firm Details'!M175</f>
        <v>Invalid</v>
      </c>
      <c r="F12" s="517">
        <f t="shared" si="0"/>
        <v>0</v>
      </c>
      <c r="G12" s="509"/>
      <c r="H12" s="502"/>
      <c r="I12" s="509"/>
      <c r="J12" s="509"/>
      <c r="K12" s="509"/>
      <c r="L12" s="509"/>
      <c r="M12" s="509"/>
      <c r="N12" s="509"/>
      <c r="O12" s="509"/>
      <c r="P12" s="509"/>
      <c r="Q12" s="509"/>
      <c r="R12" s="509"/>
      <c r="S12" s="509"/>
      <c r="T12" s="509"/>
      <c r="U12" s="509"/>
      <c r="V12" s="509"/>
      <c r="W12" s="509"/>
      <c r="X12" s="509"/>
      <c r="Y12" s="509"/>
      <c r="Z12" s="509"/>
      <c r="AA12" s="509"/>
      <c r="AB12" s="509"/>
      <c r="AC12" s="509"/>
      <c r="AD12" s="509"/>
      <c r="AE12" s="509"/>
      <c r="AF12" s="509"/>
      <c r="AG12" s="509"/>
    </row>
    <row r="13" spans="1:33" ht="15" x14ac:dyDescent="0.2">
      <c r="A13" s="501"/>
      <c r="B13" s="515"/>
      <c r="C13" s="518"/>
      <c r="D13" s="518"/>
      <c r="E13" s="513"/>
      <c r="F13" s="517"/>
      <c r="G13" s="509"/>
      <c r="H13" s="502"/>
      <c r="I13" s="509"/>
      <c r="J13" s="509"/>
      <c r="K13" s="509"/>
      <c r="L13" s="509"/>
      <c r="M13" s="509"/>
      <c r="N13" s="509"/>
      <c r="O13" s="509"/>
      <c r="P13" s="509"/>
      <c r="Q13" s="509"/>
      <c r="R13" s="509"/>
      <c r="S13" s="509"/>
      <c r="T13" s="509"/>
      <c r="U13" s="509"/>
      <c r="V13" s="509"/>
      <c r="W13" s="509"/>
      <c r="X13" s="509"/>
      <c r="Y13" s="509"/>
      <c r="Z13" s="509"/>
      <c r="AA13" s="509"/>
      <c r="AB13" s="509"/>
      <c r="AC13" s="509"/>
      <c r="AD13" s="509"/>
      <c r="AE13" s="509"/>
      <c r="AF13" s="509"/>
      <c r="AG13" s="509"/>
    </row>
    <row r="14" spans="1:33" ht="15" x14ac:dyDescent="0.2">
      <c r="A14" s="501"/>
      <c r="B14" s="515"/>
      <c r="C14" s="512" t="s">
        <v>765</v>
      </c>
      <c r="D14" s="518" t="s">
        <v>766</v>
      </c>
      <c r="E14" s="513" t="str">
        <f>'2. Ownership &amp; Management'!M17</f>
        <v>Invalid</v>
      </c>
      <c r="F14" s="517">
        <f t="shared" ref="F14:F16" si="1">IF(E14="Valid",1,0)</f>
        <v>0</v>
      </c>
      <c r="G14" s="509"/>
      <c r="H14" s="502"/>
      <c r="I14" s="509"/>
      <c r="J14" s="509"/>
      <c r="K14" s="509"/>
      <c r="L14" s="509"/>
      <c r="M14" s="509"/>
      <c r="N14" s="509"/>
      <c r="O14" s="509"/>
      <c r="P14" s="509"/>
      <c r="Q14" s="509"/>
      <c r="R14" s="509"/>
      <c r="S14" s="509"/>
      <c r="T14" s="509"/>
      <c r="U14" s="509"/>
      <c r="V14" s="509"/>
      <c r="W14" s="509"/>
      <c r="X14" s="509"/>
      <c r="Y14" s="509"/>
      <c r="Z14" s="509"/>
      <c r="AA14" s="509"/>
      <c r="AB14" s="509"/>
      <c r="AC14" s="509"/>
      <c r="AD14" s="509"/>
      <c r="AE14" s="509"/>
      <c r="AF14" s="509"/>
      <c r="AG14" s="509"/>
    </row>
    <row r="15" spans="1:33" ht="15" x14ac:dyDescent="0.2">
      <c r="A15" s="501"/>
      <c r="B15" s="515"/>
      <c r="C15" s="518"/>
      <c r="D15" s="518" t="s">
        <v>767</v>
      </c>
      <c r="E15" s="513" t="str">
        <f>'2. Ownership &amp; Management'!M33</f>
        <v>Invalid</v>
      </c>
      <c r="F15" s="517">
        <f t="shared" si="1"/>
        <v>0</v>
      </c>
      <c r="G15" s="509"/>
      <c r="H15" s="502"/>
      <c r="I15" s="509"/>
      <c r="J15" s="509"/>
      <c r="K15" s="509"/>
      <c r="L15" s="509"/>
      <c r="M15" s="509"/>
      <c r="N15" s="509"/>
      <c r="O15" s="509"/>
      <c r="P15" s="509"/>
      <c r="Q15" s="509"/>
      <c r="R15" s="509"/>
      <c r="S15" s="509"/>
      <c r="T15" s="509"/>
      <c r="U15" s="509"/>
      <c r="V15" s="509"/>
      <c r="W15" s="509"/>
      <c r="X15" s="509"/>
      <c r="Y15" s="509"/>
      <c r="Z15" s="509"/>
      <c r="AA15" s="509"/>
      <c r="AB15" s="509"/>
      <c r="AC15" s="509"/>
      <c r="AD15" s="509"/>
      <c r="AE15" s="509"/>
      <c r="AF15" s="509"/>
      <c r="AG15" s="509"/>
    </row>
    <row r="16" spans="1:33" ht="15" x14ac:dyDescent="0.2">
      <c r="A16" s="501"/>
      <c r="B16" s="515"/>
      <c r="C16" s="518"/>
      <c r="D16" s="518" t="s">
        <v>768</v>
      </c>
      <c r="E16" s="513" t="str">
        <f>'2. Ownership &amp; Management'!M79</f>
        <v>Invalid</v>
      </c>
      <c r="F16" s="517">
        <f t="shared" si="1"/>
        <v>0</v>
      </c>
      <c r="G16" s="509"/>
      <c r="H16" s="502"/>
      <c r="I16" s="509"/>
      <c r="J16" s="509"/>
      <c r="K16" s="509"/>
      <c r="L16" s="509"/>
      <c r="M16" s="509"/>
      <c r="N16" s="509"/>
      <c r="O16" s="509"/>
      <c r="P16" s="509"/>
      <c r="Q16" s="509"/>
      <c r="R16" s="509"/>
      <c r="S16" s="509"/>
      <c r="T16" s="509"/>
      <c r="U16" s="509"/>
      <c r="V16" s="509"/>
      <c r="W16" s="509"/>
      <c r="X16" s="509"/>
      <c r="Y16" s="509"/>
      <c r="Z16" s="509"/>
      <c r="AA16" s="509"/>
      <c r="AB16" s="509"/>
      <c r="AC16" s="509"/>
      <c r="AD16" s="509"/>
      <c r="AE16" s="509"/>
      <c r="AF16" s="509"/>
      <c r="AG16" s="509"/>
    </row>
    <row r="17" spans="1:33" ht="15" x14ac:dyDescent="0.2">
      <c r="A17" s="501"/>
      <c r="B17" s="515"/>
      <c r="C17" s="518"/>
      <c r="D17" s="518"/>
      <c r="E17" s="513"/>
      <c r="F17" s="517"/>
      <c r="G17" s="509"/>
      <c r="H17" s="502"/>
      <c r="I17" s="509"/>
      <c r="J17" s="509"/>
      <c r="K17" s="509"/>
      <c r="L17" s="509"/>
      <c r="M17" s="509"/>
      <c r="N17" s="509"/>
      <c r="O17" s="509"/>
      <c r="P17" s="509"/>
      <c r="Q17" s="509"/>
      <c r="R17" s="509"/>
      <c r="S17" s="509"/>
      <c r="T17" s="509"/>
      <c r="U17" s="509"/>
      <c r="V17" s="509"/>
      <c r="W17" s="509"/>
      <c r="X17" s="509"/>
      <c r="Y17" s="509"/>
      <c r="Z17" s="509"/>
      <c r="AA17" s="509"/>
      <c r="AB17" s="509"/>
      <c r="AC17" s="509"/>
      <c r="AD17" s="509"/>
      <c r="AE17" s="509"/>
      <c r="AF17" s="509"/>
      <c r="AG17" s="509"/>
    </row>
    <row r="18" spans="1:33" ht="15" x14ac:dyDescent="0.2">
      <c r="A18" s="501"/>
      <c r="B18" s="519"/>
      <c r="C18" s="512" t="s">
        <v>832</v>
      </c>
      <c r="D18" s="518" t="s">
        <v>769</v>
      </c>
      <c r="E18" s="513" t="str">
        <f>'3. AML CFT FS Goverance'!M46</f>
        <v>Invalid</v>
      </c>
      <c r="F18" s="517">
        <f t="shared" ref="F18:F21" si="2">IF(E18="Valid",1,0)</f>
        <v>0</v>
      </c>
      <c r="G18" s="509"/>
      <c r="H18" s="501"/>
      <c r="I18" s="509"/>
      <c r="J18" s="509"/>
      <c r="K18" s="509"/>
      <c r="L18" s="509"/>
      <c r="M18" s="509"/>
      <c r="N18" s="509"/>
      <c r="O18" s="509"/>
      <c r="P18" s="509"/>
      <c r="Q18" s="509"/>
      <c r="R18" s="509"/>
      <c r="S18" s="509"/>
      <c r="T18" s="509"/>
      <c r="U18" s="509"/>
      <c r="V18" s="509"/>
      <c r="W18" s="509"/>
      <c r="X18" s="509"/>
      <c r="Y18" s="509"/>
      <c r="Z18" s="509"/>
      <c r="AA18" s="509"/>
      <c r="AB18" s="509"/>
      <c r="AC18" s="509"/>
      <c r="AD18" s="509"/>
      <c r="AE18" s="509"/>
      <c r="AF18" s="509"/>
      <c r="AG18" s="509"/>
    </row>
    <row r="19" spans="1:33" ht="15" x14ac:dyDescent="0.2">
      <c r="A19" s="501"/>
      <c r="B19" s="519"/>
      <c r="C19" s="518"/>
      <c r="D19" s="518" t="s">
        <v>433</v>
      </c>
      <c r="E19" s="513" t="str">
        <f>'3. AML CFT FS Goverance'!M71</f>
        <v>Invalid</v>
      </c>
      <c r="F19" s="517">
        <f t="shared" si="2"/>
        <v>0</v>
      </c>
      <c r="G19" s="509"/>
      <c r="H19" s="501"/>
      <c r="I19" s="509"/>
      <c r="J19" s="509"/>
      <c r="K19" s="509"/>
      <c r="L19" s="509"/>
      <c r="M19" s="509"/>
      <c r="N19" s="509"/>
      <c r="O19" s="509"/>
      <c r="P19" s="509"/>
      <c r="Q19" s="509"/>
      <c r="R19" s="509"/>
      <c r="S19" s="509"/>
      <c r="T19" s="509"/>
      <c r="U19" s="509"/>
      <c r="V19" s="509"/>
      <c r="W19" s="509"/>
      <c r="X19" s="509"/>
      <c r="Y19" s="509"/>
      <c r="Z19" s="509"/>
      <c r="AA19" s="509"/>
      <c r="AB19" s="509"/>
      <c r="AC19" s="509"/>
      <c r="AD19" s="509"/>
      <c r="AE19" s="509"/>
      <c r="AF19" s="509"/>
      <c r="AG19" s="509"/>
    </row>
    <row r="20" spans="1:33" ht="15" x14ac:dyDescent="0.2">
      <c r="A20" s="501"/>
      <c r="B20" s="519"/>
      <c r="C20" s="518"/>
      <c r="D20" s="518" t="s">
        <v>770</v>
      </c>
      <c r="E20" s="513" t="str">
        <f>'3. AML CFT FS Goverance'!M107</f>
        <v>Invalid</v>
      </c>
      <c r="F20" s="517">
        <f t="shared" si="2"/>
        <v>0</v>
      </c>
      <c r="G20" s="509"/>
      <c r="H20" s="501"/>
      <c r="I20" s="509"/>
      <c r="J20" s="509"/>
      <c r="K20" s="509"/>
      <c r="L20" s="509"/>
      <c r="M20" s="509"/>
      <c r="N20" s="509"/>
      <c r="O20" s="509"/>
      <c r="P20" s="509"/>
      <c r="Q20" s="509"/>
      <c r="R20" s="509"/>
      <c r="S20" s="509"/>
      <c r="T20" s="509"/>
      <c r="U20" s="509"/>
      <c r="V20" s="509"/>
      <c r="W20" s="509"/>
      <c r="X20" s="509"/>
      <c r="Y20" s="509"/>
      <c r="Z20" s="509"/>
      <c r="AA20" s="509"/>
      <c r="AB20" s="509"/>
      <c r="AC20" s="509"/>
      <c r="AD20" s="509"/>
      <c r="AE20" s="509"/>
      <c r="AF20" s="509"/>
      <c r="AG20" s="509"/>
    </row>
    <row r="21" spans="1:33" ht="15" x14ac:dyDescent="0.2">
      <c r="A21" s="501"/>
      <c r="B21" s="519"/>
      <c r="C21" s="518"/>
      <c r="D21" s="518" t="s">
        <v>771</v>
      </c>
      <c r="E21" s="513" t="str">
        <f>'3. AML CFT FS Goverance'!M111</f>
        <v>Invalid</v>
      </c>
      <c r="F21" s="517">
        <f t="shared" si="2"/>
        <v>0</v>
      </c>
      <c r="G21" s="509"/>
      <c r="H21" s="501"/>
      <c r="I21" s="509"/>
      <c r="J21" s="509"/>
      <c r="K21" s="509"/>
      <c r="L21" s="509"/>
      <c r="M21" s="509"/>
      <c r="N21" s="509"/>
      <c r="O21" s="509"/>
      <c r="P21" s="509"/>
      <c r="Q21" s="509"/>
      <c r="R21" s="509"/>
      <c r="S21" s="509"/>
      <c r="T21" s="509"/>
      <c r="U21" s="509"/>
      <c r="V21" s="509"/>
      <c r="W21" s="509"/>
      <c r="X21" s="509"/>
      <c r="Y21" s="509"/>
      <c r="Z21" s="509"/>
      <c r="AA21" s="509"/>
      <c r="AB21" s="509"/>
      <c r="AC21" s="509"/>
      <c r="AD21" s="509"/>
      <c r="AE21" s="509"/>
      <c r="AF21" s="509"/>
      <c r="AG21" s="509"/>
    </row>
    <row r="22" spans="1:33" ht="15" x14ac:dyDescent="0.2">
      <c r="A22" s="501"/>
      <c r="B22" s="519"/>
      <c r="C22" s="518"/>
      <c r="D22" s="518"/>
      <c r="E22" s="513"/>
      <c r="F22" s="517"/>
      <c r="G22" s="509"/>
      <c r="H22" s="501"/>
      <c r="I22" s="509"/>
      <c r="J22" s="509"/>
      <c r="K22" s="509"/>
      <c r="L22" s="509"/>
      <c r="M22" s="509"/>
      <c r="N22" s="509"/>
      <c r="O22" s="509"/>
      <c r="P22" s="509"/>
      <c r="Q22" s="509"/>
      <c r="R22" s="509"/>
      <c r="S22" s="509"/>
      <c r="T22" s="509"/>
      <c r="U22" s="509"/>
      <c r="V22" s="509"/>
      <c r="W22" s="509"/>
      <c r="X22" s="509"/>
      <c r="Y22" s="509"/>
      <c r="Z22" s="509"/>
      <c r="AA22" s="509"/>
      <c r="AB22" s="509"/>
      <c r="AC22" s="509"/>
      <c r="AD22" s="509"/>
      <c r="AE22" s="509"/>
      <c r="AF22" s="509"/>
      <c r="AG22" s="509"/>
    </row>
    <row r="23" spans="1:33" ht="15" x14ac:dyDescent="0.2">
      <c r="A23" s="501"/>
      <c r="B23" s="519"/>
      <c r="C23" s="512" t="s">
        <v>772</v>
      </c>
      <c r="D23" s="518" t="s">
        <v>447</v>
      </c>
      <c r="E23" s="513" t="str">
        <f>'4. ML.TF Risk Profile'!M16</f>
        <v>Invalid</v>
      </c>
      <c r="F23" s="517">
        <f t="shared" ref="F23:F28" si="3">IF(E23="Valid",1,0)</f>
        <v>0</v>
      </c>
      <c r="G23" s="509"/>
      <c r="H23" s="501"/>
      <c r="I23" s="509"/>
      <c r="J23" s="509"/>
      <c r="K23" s="509"/>
      <c r="L23" s="509"/>
      <c r="M23" s="509"/>
      <c r="N23" s="509"/>
      <c r="O23" s="509"/>
      <c r="P23" s="509"/>
      <c r="Q23" s="509"/>
      <c r="R23" s="509"/>
      <c r="S23" s="509"/>
      <c r="T23" s="509"/>
      <c r="U23" s="509"/>
      <c r="V23" s="509"/>
      <c r="W23" s="509"/>
      <c r="X23" s="509"/>
      <c r="Y23" s="509"/>
      <c r="Z23" s="509"/>
      <c r="AA23" s="509"/>
      <c r="AB23" s="509"/>
      <c r="AC23" s="509"/>
      <c r="AD23" s="509"/>
      <c r="AE23" s="509"/>
      <c r="AF23" s="509"/>
      <c r="AG23" s="509"/>
    </row>
    <row r="24" spans="1:33" ht="15" x14ac:dyDescent="0.2">
      <c r="A24" s="501"/>
      <c r="B24" s="519"/>
      <c r="C24" s="512"/>
      <c r="D24" s="518" t="s">
        <v>773</v>
      </c>
      <c r="E24" s="513" t="str">
        <f>'4. ML.TF Risk Profile'!M41</f>
        <v>Invalid</v>
      </c>
      <c r="F24" s="517">
        <f t="shared" si="3"/>
        <v>0</v>
      </c>
      <c r="G24" s="509"/>
      <c r="H24" s="501"/>
      <c r="I24" s="509"/>
      <c r="J24" s="509"/>
      <c r="K24" s="509"/>
      <c r="L24" s="509"/>
      <c r="M24" s="509"/>
      <c r="N24" s="509"/>
      <c r="O24" s="509"/>
      <c r="P24" s="509"/>
      <c r="Q24" s="509"/>
      <c r="R24" s="509"/>
      <c r="S24" s="509"/>
      <c r="T24" s="509"/>
      <c r="U24" s="509"/>
      <c r="V24" s="509"/>
      <c r="W24" s="509"/>
      <c r="X24" s="509"/>
      <c r="Y24" s="509"/>
      <c r="Z24" s="509"/>
      <c r="AA24" s="509"/>
      <c r="AB24" s="509"/>
      <c r="AC24" s="509"/>
      <c r="AD24" s="509"/>
      <c r="AE24" s="509"/>
      <c r="AF24" s="509"/>
      <c r="AG24" s="509"/>
    </row>
    <row r="25" spans="1:33" ht="15" x14ac:dyDescent="0.2">
      <c r="A25" s="501"/>
      <c r="B25" s="519"/>
      <c r="C25" s="512"/>
      <c r="D25" s="518" t="s">
        <v>774</v>
      </c>
      <c r="E25" s="513" t="str">
        <f>'4. ML.TF Risk Profile'!M62</f>
        <v>Invalid</v>
      </c>
      <c r="F25" s="517">
        <f t="shared" si="3"/>
        <v>0</v>
      </c>
      <c r="G25" s="509"/>
      <c r="H25" s="501"/>
      <c r="I25" s="509"/>
      <c r="J25" s="509"/>
      <c r="K25" s="509"/>
      <c r="L25" s="509"/>
      <c r="M25" s="509"/>
      <c r="N25" s="509"/>
      <c r="O25" s="509"/>
      <c r="P25" s="509"/>
      <c r="Q25" s="509"/>
      <c r="R25" s="509"/>
      <c r="S25" s="509"/>
      <c r="T25" s="509"/>
      <c r="U25" s="509"/>
      <c r="V25" s="509"/>
      <c r="W25" s="509"/>
      <c r="X25" s="509"/>
      <c r="Y25" s="509"/>
      <c r="Z25" s="509"/>
      <c r="AA25" s="509"/>
      <c r="AB25" s="509"/>
      <c r="AC25" s="509"/>
      <c r="AD25" s="509"/>
      <c r="AE25" s="509"/>
      <c r="AF25" s="509"/>
      <c r="AG25" s="509"/>
    </row>
    <row r="26" spans="1:33" ht="15" x14ac:dyDescent="0.2">
      <c r="A26" s="501"/>
      <c r="B26" s="519"/>
      <c r="C26" s="512"/>
      <c r="D26" s="518" t="s">
        <v>775</v>
      </c>
      <c r="E26" s="513" t="str">
        <f>'4. ML.TF Risk Profile'!M77</f>
        <v>Invalid</v>
      </c>
      <c r="F26" s="517">
        <f t="shared" si="3"/>
        <v>0</v>
      </c>
      <c r="G26" s="509"/>
      <c r="H26" s="501"/>
      <c r="I26" s="509"/>
      <c r="J26" s="509"/>
      <c r="K26" s="509"/>
      <c r="L26" s="509"/>
      <c r="M26" s="509"/>
      <c r="N26" s="509"/>
      <c r="O26" s="509"/>
      <c r="P26" s="509"/>
      <c r="Q26" s="509"/>
      <c r="R26" s="509"/>
      <c r="S26" s="509"/>
      <c r="T26" s="509"/>
      <c r="U26" s="509"/>
      <c r="V26" s="509"/>
      <c r="W26" s="509"/>
      <c r="X26" s="509"/>
      <c r="Y26" s="509"/>
      <c r="Z26" s="509"/>
      <c r="AA26" s="509"/>
      <c r="AB26" s="509"/>
      <c r="AC26" s="509"/>
      <c r="AD26" s="509"/>
      <c r="AE26" s="509"/>
      <c r="AF26" s="509"/>
      <c r="AG26" s="509"/>
    </row>
    <row r="27" spans="1:33" ht="15" x14ac:dyDescent="0.2">
      <c r="A27" s="501"/>
      <c r="B27" s="519"/>
      <c r="C27" s="518"/>
      <c r="D27" s="518" t="s">
        <v>776</v>
      </c>
      <c r="E27" s="513" t="str">
        <f>'4. ML.TF Risk Profile'!M92</f>
        <v>Invalid</v>
      </c>
      <c r="F27" s="517">
        <f t="shared" si="3"/>
        <v>0</v>
      </c>
      <c r="G27" s="509"/>
      <c r="H27" s="501"/>
      <c r="I27" s="509"/>
      <c r="J27" s="509"/>
      <c r="K27" s="509"/>
      <c r="L27" s="509"/>
      <c r="M27" s="509"/>
      <c r="N27" s="509"/>
      <c r="O27" s="509"/>
      <c r="P27" s="509"/>
      <c r="Q27" s="509"/>
      <c r="R27" s="509"/>
      <c r="S27" s="509"/>
      <c r="T27" s="509"/>
      <c r="U27" s="509"/>
      <c r="V27" s="509"/>
      <c r="W27" s="509"/>
      <c r="X27" s="509"/>
      <c r="Y27" s="509"/>
      <c r="Z27" s="509"/>
      <c r="AA27" s="509"/>
      <c r="AB27" s="509"/>
      <c r="AC27" s="509"/>
      <c r="AD27" s="509"/>
      <c r="AE27" s="509"/>
      <c r="AF27" s="509"/>
      <c r="AG27" s="509"/>
    </row>
    <row r="28" spans="1:33" ht="15" x14ac:dyDescent="0.2">
      <c r="A28" s="501"/>
      <c r="B28" s="519"/>
      <c r="C28" s="518"/>
      <c r="D28" s="518" t="s">
        <v>777</v>
      </c>
      <c r="E28" s="513" t="str">
        <f>'4. ML.TF Risk Profile'!M126</f>
        <v>Invalid</v>
      </c>
      <c r="F28" s="517">
        <f t="shared" si="3"/>
        <v>0</v>
      </c>
      <c r="G28" s="509"/>
      <c r="H28" s="501"/>
      <c r="I28" s="509"/>
      <c r="J28" s="509"/>
      <c r="K28" s="509"/>
      <c r="L28" s="509"/>
      <c r="M28" s="509"/>
      <c r="N28" s="509"/>
      <c r="O28" s="509"/>
      <c r="P28" s="509"/>
      <c r="Q28" s="509"/>
      <c r="R28" s="509"/>
      <c r="S28" s="509"/>
      <c r="T28" s="509"/>
      <c r="U28" s="509"/>
      <c r="V28" s="509"/>
      <c r="W28" s="509"/>
      <c r="X28" s="509"/>
      <c r="Y28" s="509"/>
      <c r="Z28" s="509"/>
      <c r="AA28" s="509"/>
      <c r="AB28" s="509"/>
      <c r="AC28" s="509"/>
      <c r="AD28" s="509"/>
      <c r="AE28" s="509"/>
      <c r="AF28" s="509"/>
      <c r="AG28" s="509"/>
    </row>
    <row r="29" spans="1:33" ht="15" x14ac:dyDescent="0.2">
      <c r="A29" s="501"/>
      <c r="B29" s="519"/>
      <c r="C29" s="518"/>
      <c r="D29" s="518"/>
      <c r="E29" s="513"/>
      <c r="F29" s="514"/>
      <c r="G29" s="509"/>
      <c r="H29" s="501"/>
      <c r="I29" s="509"/>
      <c r="J29" s="509"/>
      <c r="K29" s="509"/>
      <c r="L29" s="509"/>
      <c r="M29" s="509"/>
      <c r="N29" s="509"/>
      <c r="O29" s="509"/>
      <c r="P29" s="509"/>
      <c r="Q29" s="509"/>
      <c r="R29" s="509"/>
      <c r="S29" s="509"/>
      <c r="T29" s="509"/>
      <c r="U29" s="509"/>
      <c r="V29" s="509"/>
      <c r="W29" s="509"/>
      <c r="X29" s="509"/>
      <c r="Y29" s="509"/>
      <c r="Z29" s="509"/>
      <c r="AA29" s="509"/>
      <c r="AB29" s="509"/>
      <c r="AC29" s="509"/>
      <c r="AD29" s="509"/>
      <c r="AE29" s="509"/>
      <c r="AF29" s="509"/>
      <c r="AG29" s="509"/>
    </row>
    <row r="30" spans="1:33" ht="15" x14ac:dyDescent="0.2">
      <c r="A30" s="501"/>
      <c r="B30" s="519"/>
      <c r="C30" s="512" t="s">
        <v>778</v>
      </c>
      <c r="D30" s="518" t="s">
        <v>779</v>
      </c>
      <c r="E30" s="513" t="str">
        <f>'5. Risk Based Approach'!M18</f>
        <v>Invalid</v>
      </c>
      <c r="F30" s="517">
        <f t="shared" ref="F30:F32" si="4">IF(E30="Valid",1,0)</f>
        <v>0</v>
      </c>
      <c r="G30" s="509"/>
      <c r="H30" s="501"/>
      <c r="I30" s="509"/>
      <c r="J30" s="509"/>
      <c r="K30" s="509"/>
      <c r="L30" s="509"/>
      <c r="M30" s="509"/>
      <c r="N30" s="509"/>
      <c r="O30" s="509"/>
      <c r="P30" s="509"/>
      <c r="Q30" s="509"/>
      <c r="R30" s="509"/>
      <c r="S30" s="509"/>
      <c r="T30" s="509"/>
      <c r="U30" s="509"/>
      <c r="V30" s="509"/>
      <c r="W30" s="509"/>
      <c r="X30" s="509"/>
      <c r="Y30" s="509"/>
      <c r="Z30" s="509"/>
      <c r="AA30" s="509"/>
      <c r="AB30" s="509"/>
      <c r="AC30" s="509"/>
      <c r="AD30" s="509"/>
      <c r="AE30" s="509"/>
      <c r="AF30" s="509"/>
      <c r="AG30" s="509"/>
    </row>
    <row r="31" spans="1:33" ht="15" x14ac:dyDescent="0.2">
      <c r="A31" s="501"/>
      <c r="B31" s="519"/>
      <c r="C31" s="518"/>
      <c r="D31" s="518" t="s">
        <v>780</v>
      </c>
      <c r="E31" s="513" t="str">
        <f>'5. Risk Based Approach'!M31</f>
        <v>Invalid</v>
      </c>
      <c r="F31" s="517">
        <f t="shared" si="4"/>
        <v>0</v>
      </c>
      <c r="G31" s="509"/>
      <c r="H31" s="501"/>
      <c r="I31" s="509"/>
      <c r="J31" s="509"/>
      <c r="K31" s="509"/>
      <c r="L31" s="509"/>
      <c r="M31" s="509"/>
      <c r="N31" s="509"/>
      <c r="O31" s="509"/>
      <c r="P31" s="509"/>
      <c r="Q31" s="509"/>
      <c r="R31" s="509"/>
      <c r="S31" s="509"/>
      <c r="T31" s="509"/>
      <c r="U31" s="509"/>
      <c r="V31" s="509"/>
      <c r="W31" s="509"/>
      <c r="X31" s="509"/>
      <c r="Y31" s="509"/>
      <c r="Z31" s="509"/>
      <c r="AA31" s="509"/>
      <c r="AB31" s="509"/>
      <c r="AC31" s="509"/>
      <c r="AD31" s="509"/>
      <c r="AE31" s="509"/>
      <c r="AF31" s="509"/>
      <c r="AG31" s="509"/>
    </row>
    <row r="32" spans="1:33" ht="15" x14ac:dyDescent="0.2">
      <c r="A32" s="501"/>
      <c r="B32" s="519"/>
      <c r="C32" s="518"/>
      <c r="D32" s="518" t="s">
        <v>781</v>
      </c>
      <c r="E32" s="513" t="str">
        <f>'5. Risk Based Approach'!M50</f>
        <v>Invalid</v>
      </c>
      <c r="F32" s="517">
        <f t="shared" si="4"/>
        <v>0</v>
      </c>
      <c r="G32" s="509"/>
      <c r="H32" s="501"/>
      <c r="I32" s="509"/>
      <c r="J32" s="509"/>
      <c r="K32" s="509"/>
      <c r="L32" s="509"/>
      <c r="M32" s="509"/>
      <c r="N32" s="509"/>
      <c r="O32" s="509"/>
      <c r="P32" s="509"/>
      <c r="Q32" s="509"/>
      <c r="R32" s="509"/>
      <c r="S32" s="509"/>
      <c r="T32" s="509"/>
      <c r="U32" s="509"/>
      <c r="V32" s="509"/>
      <c r="W32" s="509"/>
      <c r="X32" s="509"/>
      <c r="Y32" s="509"/>
      <c r="Z32" s="509"/>
      <c r="AA32" s="509"/>
      <c r="AB32" s="509"/>
      <c r="AC32" s="509"/>
      <c r="AD32" s="509"/>
      <c r="AE32" s="509"/>
      <c r="AF32" s="509"/>
      <c r="AG32" s="509"/>
    </row>
    <row r="33" spans="1:33" ht="15" x14ac:dyDescent="0.2">
      <c r="A33" s="501"/>
      <c r="B33" s="519"/>
      <c r="C33" s="518"/>
      <c r="D33" s="518"/>
      <c r="E33" s="513"/>
      <c r="F33" s="517"/>
      <c r="G33" s="509"/>
      <c r="H33" s="501"/>
      <c r="I33" s="509"/>
      <c r="J33" s="509"/>
      <c r="K33" s="509"/>
      <c r="L33" s="509"/>
      <c r="M33" s="509"/>
      <c r="N33" s="509"/>
      <c r="O33" s="509"/>
      <c r="P33" s="509"/>
      <c r="Q33" s="509"/>
      <c r="R33" s="509"/>
      <c r="S33" s="509"/>
      <c r="T33" s="509"/>
      <c r="U33" s="509"/>
      <c r="V33" s="509"/>
      <c r="W33" s="509"/>
      <c r="X33" s="509"/>
      <c r="Y33" s="509"/>
      <c r="Z33" s="509"/>
      <c r="AA33" s="509"/>
      <c r="AB33" s="509"/>
      <c r="AC33" s="509"/>
      <c r="AD33" s="509"/>
      <c r="AE33" s="509"/>
      <c r="AF33" s="509"/>
      <c r="AG33" s="509"/>
    </row>
    <row r="34" spans="1:33" ht="15.75" x14ac:dyDescent="0.25">
      <c r="A34" s="501"/>
      <c r="B34" s="519"/>
      <c r="C34" s="520" t="s">
        <v>782</v>
      </c>
      <c r="D34" s="521" t="s">
        <v>783</v>
      </c>
      <c r="E34" s="522" t="str">
        <f>'6. Declarations'!M34</f>
        <v>Invalid</v>
      </c>
      <c r="F34" s="523">
        <f>IF(E34="Valid",1,0)</f>
        <v>0</v>
      </c>
      <c r="G34" s="509"/>
      <c r="H34" s="501"/>
      <c r="I34" s="509"/>
      <c r="J34" s="509"/>
      <c r="K34" s="509"/>
      <c r="L34" s="509"/>
      <c r="M34" s="509"/>
      <c r="N34" s="509"/>
      <c r="O34" s="509"/>
      <c r="P34" s="509"/>
      <c r="Q34" s="509"/>
      <c r="R34" s="509"/>
      <c r="S34" s="509"/>
      <c r="T34" s="509"/>
      <c r="U34" s="509"/>
      <c r="V34" s="509"/>
      <c r="W34" s="509"/>
      <c r="X34" s="509"/>
      <c r="Y34" s="509"/>
      <c r="Z34" s="509"/>
      <c r="AA34" s="509"/>
      <c r="AB34" s="509"/>
      <c r="AC34" s="509"/>
      <c r="AD34" s="509"/>
      <c r="AE34" s="509"/>
      <c r="AF34" s="509"/>
      <c r="AG34" s="509"/>
    </row>
    <row r="35" spans="1:33" ht="15.75" x14ac:dyDescent="0.25">
      <c r="A35" s="501"/>
      <c r="B35" s="519"/>
      <c r="C35" s="521"/>
      <c r="D35" s="521" t="s">
        <v>784</v>
      </c>
      <c r="E35" s="522" t="str">
        <f>'6. Declarations'!M52</f>
        <v>Invalid</v>
      </c>
      <c r="F35" s="523">
        <f>IF(E35="Valid",1,0)</f>
        <v>0</v>
      </c>
      <c r="G35" s="509"/>
      <c r="H35" s="501"/>
      <c r="I35" s="509"/>
      <c r="J35" s="509"/>
      <c r="K35" s="509"/>
      <c r="L35" s="509"/>
      <c r="M35" s="509"/>
      <c r="N35" s="509"/>
      <c r="O35" s="509"/>
      <c r="P35" s="509"/>
      <c r="Q35" s="509"/>
      <c r="R35" s="509"/>
      <c r="S35" s="509"/>
      <c r="T35" s="509"/>
      <c r="U35" s="509"/>
      <c r="V35" s="509"/>
      <c r="W35" s="509"/>
      <c r="X35" s="509"/>
      <c r="Y35" s="509"/>
      <c r="Z35" s="509"/>
      <c r="AA35" s="509"/>
      <c r="AB35" s="509"/>
      <c r="AC35" s="509"/>
      <c r="AD35" s="509"/>
      <c r="AE35" s="509"/>
      <c r="AF35" s="509"/>
      <c r="AG35" s="509"/>
    </row>
    <row r="36" spans="1:33" ht="15.75" x14ac:dyDescent="0.25">
      <c r="A36" s="501"/>
      <c r="B36" s="519"/>
      <c r="C36" s="518"/>
      <c r="D36" s="518" t="s">
        <v>785</v>
      </c>
      <c r="E36" s="522" t="str">
        <f>'6. Declarations'!M71</f>
        <v>Invalid</v>
      </c>
      <c r="F36" s="523">
        <f>IF(E36="Valid",1,0)</f>
        <v>0</v>
      </c>
      <c r="G36" s="509"/>
      <c r="H36" s="501"/>
      <c r="I36" s="509"/>
      <c r="J36" s="509"/>
      <c r="K36" s="509"/>
      <c r="L36" s="509"/>
      <c r="M36" s="509"/>
      <c r="N36" s="509"/>
      <c r="O36" s="509"/>
      <c r="P36" s="509"/>
      <c r="Q36" s="509"/>
      <c r="R36" s="509"/>
      <c r="S36" s="509"/>
      <c r="T36" s="509"/>
      <c r="U36" s="509"/>
      <c r="V36" s="509"/>
      <c r="W36" s="509"/>
      <c r="X36" s="509"/>
      <c r="Y36" s="509"/>
      <c r="Z36" s="509"/>
      <c r="AA36" s="509"/>
      <c r="AB36" s="509"/>
      <c r="AC36" s="509"/>
      <c r="AD36" s="509"/>
      <c r="AE36" s="509"/>
      <c r="AF36" s="509"/>
      <c r="AG36" s="509"/>
    </row>
    <row r="37" spans="1:33" ht="15" x14ac:dyDescent="0.2">
      <c r="A37" s="501"/>
      <c r="B37" s="519"/>
      <c r="C37" s="518"/>
      <c r="D37" s="518"/>
      <c r="E37" s="513"/>
      <c r="F37" s="514"/>
      <c r="G37" s="509"/>
      <c r="H37" s="501"/>
      <c r="I37" s="509"/>
      <c r="J37" s="509"/>
      <c r="K37" s="509"/>
      <c r="L37" s="509"/>
      <c r="M37" s="509"/>
      <c r="N37" s="509"/>
      <c r="O37" s="509"/>
      <c r="P37" s="509"/>
      <c r="Q37" s="509"/>
      <c r="R37" s="509"/>
      <c r="S37" s="509"/>
      <c r="T37" s="509"/>
      <c r="U37" s="509"/>
      <c r="V37" s="509"/>
      <c r="W37" s="509"/>
      <c r="X37" s="509"/>
      <c r="Y37" s="509"/>
      <c r="Z37" s="509"/>
      <c r="AA37" s="509"/>
      <c r="AB37" s="509"/>
      <c r="AC37" s="509"/>
      <c r="AD37" s="509"/>
      <c r="AE37" s="509"/>
      <c r="AF37" s="509"/>
      <c r="AG37" s="509"/>
    </row>
    <row r="38" spans="1:33" ht="15" x14ac:dyDescent="0.2">
      <c r="A38" s="501"/>
      <c r="B38" s="524"/>
      <c r="C38" s="516"/>
      <c r="D38" s="525" t="s">
        <v>786</v>
      </c>
      <c r="E38" s="513" t="str">
        <f>IF(COUNTIF(E6:E37, "Invalid")&gt;0, "Invalid","Valid")</f>
        <v>Invalid</v>
      </c>
      <c r="F38" s="517"/>
      <c r="G38" s="509"/>
      <c r="H38" s="501"/>
      <c r="I38" s="509"/>
      <c r="J38" s="509"/>
      <c r="K38" s="509"/>
      <c r="L38" s="509"/>
      <c r="M38" s="509"/>
      <c r="N38" s="509"/>
      <c r="O38" s="509"/>
      <c r="P38" s="509"/>
      <c r="Q38" s="509"/>
      <c r="R38" s="509"/>
      <c r="S38" s="509"/>
      <c r="T38" s="509"/>
      <c r="U38" s="509"/>
      <c r="V38" s="509"/>
      <c r="W38" s="509"/>
      <c r="X38" s="509"/>
      <c r="Y38" s="509"/>
      <c r="Z38" s="509"/>
      <c r="AA38" s="509"/>
      <c r="AB38" s="509"/>
      <c r="AC38" s="509"/>
      <c r="AD38" s="509"/>
      <c r="AE38" s="509"/>
      <c r="AF38" s="509"/>
      <c r="AG38" s="509"/>
    </row>
    <row r="39" spans="1:33" ht="15" x14ac:dyDescent="0.2">
      <c r="A39" s="501"/>
      <c r="B39" s="519"/>
      <c r="C39" s="526"/>
      <c r="D39" s="526"/>
      <c r="E39" s="527"/>
      <c r="F39" s="528"/>
      <c r="G39" s="509"/>
      <c r="H39" s="501"/>
      <c r="I39" s="509"/>
      <c r="J39" s="509"/>
      <c r="K39" s="509"/>
      <c r="L39" s="509"/>
      <c r="M39" s="509"/>
      <c r="N39" s="509"/>
      <c r="O39" s="509"/>
      <c r="P39" s="509"/>
      <c r="Q39" s="509"/>
      <c r="R39" s="509"/>
      <c r="S39" s="509"/>
      <c r="T39" s="509"/>
      <c r="U39" s="509"/>
      <c r="V39" s="509"/>
      <c r="W39" s="509"/>
      <c r="X39" s="509"/>
      <c r="Y39" s="509"/>
      <c r="Z39" s="509"/>
      <c r="AA39" s="509"/>
      <c r="AB39" s="509"/>
      <c r="AC39" s="509"/>
      <c r="AD39" s="509"/>
      <c r="AE39" s="509"/>
      <c r="AF39" s="509"/>
      <c r="AG39" s="509"/>
    </row>
    <row r="40" spans="1:33" ht="15" x14ac:dyDescent="0.2">
      <c r="A40" s="501"/>
      <c r="B40" s="529"/>
      <c r="C40" s="526"/>
      <c r="D40" s="526"/>
      <c r="E40" s="527"/>
      <c r="F40" s="530"/>
      <c r="G40" s="509"/>
      <c r="H40" s="501"/>
      <c r="I40" s="509"/>
      <c r="J40" s="509"/>
      <c r="K40" s="509"/>
      <c r="L40" s="509"/>
      <c r="M40" s="509"/>
      <c r="N40" s="509"/>
      <c r="O40" s="509"/>
      <c r="P40" s="509"/>
      <c r="Q40" s="509"/>
      <c r="R40" s="509"/>
      <c r="S40" s="509"/>
      <c r="T40" s="509"/>
      <c r="U40" s="509"/>
      <c r="V40" s="509"/>
      <c r="W40" s="509"/>
      <c r="X40" s="509"/>
      <c r="Y40" s="509"/>
      <c r="Z40" s="509"/>
      <c r="AA40" s="509"/>
      <c r="AB40" s="509"/>
      <c r="AC40" s="509"/>
      <c r="AD40" s="509"/>
      <c r="AE40" s="509"/>
      <c r="AF40" s="509"/>
      <c r="AG40" s="509"/>
    </row>
    <row r="41" spans="1:33" ht="15" x14ac:dyDescent="0.2">
      <c r="A41" s="501"/>
      <c r="B41" s="531"/>
      <c r="C41" s="526"/>
      <c r="D41" s="526"/>
      <c r="E41" s="527"/>
      <c r="F41" s="530"/>
      <c r="G41" s="509"/>
      <c r="H41" s="501"/>
      <c r="I41" s="509"/>
      <c r="J41" s="509"/>
      <c r="K41" s="509"/>
      <c r="L41" s="509"/>
      <c r="M41" s="509"/>
      <c r="N41" s="509"/>
      <c r="O41" s="509"/>
      <c r="P41" s="509"/>
      <c r="Q41" s="509"/>
      <c r="R41" s="509"/>
      <c r="S41" s="509"/>
      <c r="T41" s="509"/>
      <c r="U41" s="509"/>
      <c r="V41" s="509"/>
      <c r="W41" s="509"/>
      <c r="X41" s="509"/>
      <c r="Y41" s="509"/>
      <c r="Z41" s="509"/>
      <c r="AA41" s="509"/>
      <c r="AB41" s="509"/>
      <c r="AC41" s="509"/>
      <c r="AD41" s="509"/>
      <c r="AE41" s="509"/>
      <c r="AF41" s="509"/>
      <c r="AG41" s="509"/>
    </row>
    <row r="42" spans="1:33" ht="15.75" thickBot="1" x14ac:dyDescent="0.25">
      <c r="A42" s="501"/>
      <c r="B42" s="532"/>
      <c r="C42" s="533"/>
      <c r="D42" s="533"/>
      <c r="E42" s="534"/>
      <c r="F42" s="535"/>
      <c r="G42" s="509"/>
      <c r="H42" s="501"/>
      <c r="I42" s="509"/>
      <c r="J42" s="509"/>
      <c r="K42" s="509"/>
      <c r="L42" s="509"/>
      <c r="M42" s="509"/>
      <c r="N42" s="509"/>
      <c r="O42" s="509"/>
      <c r="P42" s="509"/>
      <c r="Q42" s="509"/>
      <c r="R42" s="509"/>
      <c r="S42" s="509"/>
      <c r="T42" s="509"/>
      <c r="U42" s="509"/>
      <c r="V42" s="509"/>
      <c r="W42" s="509"/>
      <c r="X42" s="509"/>
      <c r="Y42" s="509"/>
      <c r="Z42" s="509"/>
      <c r="AA42" s="509"/>
      <c r="AB42" s="509"/>
      <c r="AC42" s="509"/>
      <c r="AD42" s="509"/>
      <c r="AE42" s="509"/>
      <c r="AF42" s="509"/>
      <c r="AG42" s="509"/>
    </row>
    <row r="43" spans="1:33" ht="15" x14ac:dyDescent="0.2">
      <c r="A43" s="501"/>
      <c r="B43" s="501"/>
      <c r="C43" s="501"/>
      <c r="D43" s="501"/>
      <c r="E43" s="501"/>
      <c r="F43" s="501"/>
      <c r="G43" s="509"/>
      <c r="H43" s="501"/>
      <c r="I43" s="509"/>
      <c r="J43" s="509"/>
      <c r="K43" s="509"/>
      <c r="L43" s="509"/>
      <c r="M43" s="509"/>
      <c r="N43" s="509"/>
      <c r="O43" s="509"/>
      <c r="P43" s="509"/>
      <c r="Q43" s="509"/>
      <c r="R43" s="509"/>
      <c r="S43" s="509"/>
      <c r="T43" s="509"/>
      <c r="U43" s="509"/>
      <c r="V43" s="509"/>
      <c r="W43" s="509"/>
      <c r="X43" s="509"/>
      <c r="Y43" s="509"/>
      <c r="Z43" s="509"/>
      <c r="AA43" s="509"/>
      <c r="AB43" s="509"/>
      <c r="AC43" s="509"/>
      <c r="AD43" s="509"/>
      <c r="AE43" s="509"/>
      <c r="AF43" s="509"/>
      <c r="AG43" s="509"/>
    </row>
    <row r="44" spans="1:33" ht="15.75" thickBot="1" x14ac:dyDescent="0.25">
      <c r="A44" s="501"/>
      <c r="B44" s="501"/>
      <c r="C44" s="501"/>
      <c r="D44" s="501"/>
      <c r="E44" s="501"/>
      <c r="F44" s="501"/>
      <c r="G44" s="509"/>
      <c r="I44" s="509"/>
      <c r="J44" s="509"/>
      <c r="K44" s="509"/>
      <c r="L44" s="509"/>
      <c r="M44" s="509"/>
      <c r="N44" s="509"/>
      <c r="O44" s="509"/>
      <c r="P44" s="509"/>
      <c r="Q44" s="509"/>
      <c r="R44" s="509"/>
      <c r="S44" s="509"/>
      <c r="T44" s="509"/>
      <c r="U44" s="509"/>
      <c r="V44" s="509"/>
      <c r="W44" s="509"/>
      <c r="X44" s="509"/>
      <c r="Y44" s="509"/>
      <c r="Z44" s="509"/>
      <c r="AA44" s="509"/>
      <c r="AB44" s="509"/>
      <c r="AC44" s="509"/>
      <c r="AD44" s="509"/>
      <c r="AE44" s="509"/>
      <c r="AF44" s="509"/>
      <c r="AG44" s="509"/>
    </row>
    <row r="45" spans="1:33" ht="15.75" customHeight="1" x14ac:dyDescent="0.2">
      <c r="A45" s="501"/>
      <c r="B45" s="648" t="s">
        <v>787</v>
      </c>
      <c r="C45" s="649"/>
      <c r="D45" s="649"/>
      <c r="E45" s="649"/>
      <c r="F45" s="650"/>
      <c r="G45" s="509"/>
      <c r="I45" s="509"/>
      <c r="J45" s="509"/>
      <c r="K45" s="509"/>
      <c r="L45" s="509"/>
      <c r="M45" s="509"/>
      <c r="N45" s="509"/>
      <c r="O45" s="509"/>
      <c r="P45" s="509"/>
      <c r="Q45" s="509"/>
      <c r="R45" s="509"/>
      <c r="S45" s="509"/>
      <c r="T45" s="509"/>
      <c r="U45" s="509"/>
      <c r="V45" s="509"/>
      <c r="W45" s="509"/>
      <c r="X45" s="509"/>
      <c r="Y45" s="509"/>
      <c r="Z45" s="509"/>
      <c r="AA45" s="509"/>
      <c r="AB45" s="509"/>
      <c r="AC45" s="509"/>
      <c r="AD45" s="509"/>
      <c r="AE45" s="509"/>
      <c r="AF45" s="509"/>
      <c r="AG45" s="509"/>
    </row>
    <row r="46" spans="1:33" ht="15.75" customHeight="1" x14ac:dyDescent="0.2">
      <c r="A46" s="501"/>
      <c r="B46" s="651"/>
      <c r="C46" s="652"/>
      <c r="D46" s="652"/>
      <c r="E46" s="652"/>
      <c r="F46" s="653"/>
      <c r="G46" s="509"/>
      <c r="I46" s="509"/>
      <c r="J46" s="509"/>
      <c r="K46" s="509"/>
      <c r="L46" s="509"/>
      <c r="M46" s="509"/>
      <c r="N46" s="509"/>
      <c r="O46" s="509"/>
      <c r="P46" s="509"/>
      <c r="Q46" s="509"/>
      <c r="R46" s="509"/>
      <c r="S46" s="509"/>
      <c r="T46" s="509"/>
      <c r="U46" s="509"/>
      <c r="V46" s="509"/>
      <c r="W46" s="509"/>
      <c r="X46" s="509"/>
      <c r="Y46" s="509"/>
      <c r="Z46" s="509"/>
      <c r="AA46" s="509"/>
      <c r="AB46" s="509"/>
      <c r="AC46" s="509"/>
      <c r="AD46" s="509"/>
      <c r="AE46" s="509"/>
      <c r="AF46" s="509"/>
      <c r="AG46" s="509"/>
    </row>
    <row r="47" spans="1:33" ht="15.75" customHeight="1" x14ac:dyDescent="0.2">
      <c r="A47" s="501"/>
      <c r="B47" s="651"/>
      <c r="C47" s="652"/>
      <c r="D47" s="652"/>
      <c r="E47" s="652"/>
      <c r="F47" s="653"/>
      <c r="G47" s="509"/>
      <c r="I47" s="509"/>
      <c r="J47" s="509"/>
      <c r="K47" s="509"/>
      <c r="L47" s="509"/>
      <c r="M47" s="509"/>
      <c r="N47" s="509"/>
      <c r="O47" s="509"/>
      <c r="P47" s="509"/>
      <c r="Q47" s="509"/>
      <c r="R47" s="509"/>
      <c r="S47" s="509"/>
      <c r="T47" s="509"/>
      <c r="U47" s="509"/>
      <c r="V47" s="509"/>
      <c r="W47" s="509"/>
      <c r="X47" s="509"/>
      <c r="Y47" s="509"/>
      <c r="Z47" s="509"/>
      <c r="AA47" s="509"/>
      <c r="AB47" s="509"/>
      <c r="AC47" s="509"/>
      <c r="AD47" s="509"/>
      <c r="AE47" s="509"/>
      <c r="AF47" s="509"/>
      <c r="AG47" s="509"/>
    </row>
    <row r="48" spans="1:33" ht="15.75" customHeight="1" thickBot="1" x14ac:dyDescent="0.25">
      <c r="A48" s="501"/>
      <c r="B48" s="654"/>
      <c r="C48" s="655"/>
      <c r="D48" s="655"/>
      <c r="E48" s="655"/>
      <c r="F48" s="656"/>
      <c r="G48" s="509"/>
      <c r="I48" s="509"/>
      <c r="J48" s="509"/>
      <c r="K48" s="509"/>
      <c r="L48" s="509"/>
      <c r="M48" s="509"/>
      <c r="N48" s="509"/>
      <c r="O48" s="509"/>
      <c r="P48" s="509"/>
      <c r="Q48" s="509"/>
      <c r="R48" s="509"/>
      <c r="S48" s="509"/>
      <c r="T48" s="509"/>
      <c r="U48" s="509"/>
      <c r="V48" s="509"/>
      <c r="W48" s="509"/>
      <c r="X48" s="509"/>
      <c r="Y48" s="509"/>
      <c r="Z48" s="509"/>
      <c r="AA48" s="509"/>
      <c r="AB48" s="509"/>
      <c r="AC48" s="509"/>
      <c r="AD48" s="509"/>
      <c r="AE48" s="509"/>
      <c r="AF48" s="509"/>
      <c r="AG48" s="509"/>
    </row>
    <row r="49" spans="1:33" ht="15" x14ac:dyDescent="0.2">
      <c r="A49" s="501"/>
      <c r="B49" s="501"/>
      <c r="C49" s="501"/>
      <c r="D49" s="501"/>
      <c r="E49" s="501"/>
      <c r="F49" s="501"/>
      <c r="G49" s="509"/>
      <c r="I49" s="509"/>
      <c r="J49" s="509"/>
      <c r="K49" s="509"/>
      <c r="L49" s="509"/>
      <c r="M49" s="509"/>
      <c r="N49" s="509"/>
      <c r="O49" s="509"/>
      <c r="P49" s="509"/>
      <c r="Q49" s="509"/>
      <c r="R49" s="509"/>
      <c r="S49" s="509"/>
      <c r="T49" s="509"/>
      <c r="U49" s="509"/>
      <c r="V49" s="509"/>
      <c r="W49" s="509"/>
      <c r="X49" s="509"/>
      <c r="Y49" s="509"/>
      <c r="Z49" s="509"/>
      <c r="AA49" s="509"/>
      <c r="AB49" s="509"/>
      <c r="AC49" s="509"/>
      <c r="AD49" s="509"/>
      <c r="AE49" s="509"/>
      <c r="AF49" s="509"/>
      <c r="AG49" s="509"/>
    </row>
    <row r="50" spans="1:33" ht="15" x14ac:dyDescent="0.2">
      <c r="A50" s="501"/>
      <c r="B50" s="501"/>
      <c r="C50" s="501"/>
      <c r="D50" s="501"/>
      <c r="E50" s="501"/>
      <c r="F50" s="501"/>
      <c r="G50" s="509"/>
      <c r="I50" s="509"/>
      <c r="J50" s="509"/>
      <c r="K50" s="509"/>
      <c r="L50" s="509"/>
      <c r="M50" s="509"/>
      <c r="N50" s="509"/>
      <c r="O50" s="509"/>
      <c r="P50" s="509"/>
      <c r="Q50" s="509"/>
      <c r="R50" s="509"/>
      <c r="S50" s="509"/>
      <c r="T50" s="509"/>
      <c r="U50" s="509"/>
      <c r="V50" s="509"/>
      <c r="W50" s="509"/>
      <c r="X50" s="509"/>
      <c r="Y50" s="509"/>
      <c r="Z50" s="509"/>
      <c r="AA50" s="509"/>
      <c r="AB50" s="509"/>
      <c r="AC50" s="509"/>
      <c r="AD50" s="509"/>
      <c r="AE50" s="509"/>
      <c r="AF50" s="509"/>
      <c r="AG50" s="509"/>
    </row>
    <row r="51" spans="1:33" ht="15" x14ac:dyDescent="0.2">
      <c r="A51" s="501"/>
      <c r="B51" s="501"/>
      <c r="C51" s="501"/>
      <c r="D51" s="501"/>
      <c r="E51" s="501"/>
      <c r="F51" s="501"/>
      <c r="G51" s="509"/>
      <c r="I51" s="509"/>
      <c r="J51" s="509"/>
      <c r="K51" s="509"/>
      <c r="L51" s="509"/>
      <c r="M51" s="509"/>
      <c r="N51" s="509"/>
      <c r="O51" s="509"/>
      <c r="P51" s="509"/>
      <c r="Q51" s="509"/>
      <c r="R51" s="509"/>
      <c r="S51" s="509"/>
      <c r="T51" s="509"/>
      <c r="U51" s="509"/>
      <c r="V51" s="509"/>
      <c r="W51" s="509"/>
      <c r="X51" s="509"/>
      <c r="Y51" s="509"/>
      <c r="Z51" s="509"/>
      <c r="AA51" s="509"/>
      <c r="AB51" s="509"/>
      <c r="AC51" s="509"/>
      <c r="AD51" s="509"/>
      <c r="AE51" s="509"/>
      <c r="AF51" s="509"/>
      <c r="AG51" s="509"/>
    </row>
    <row r="52" spans="1:33" ht="15" x14ac:dyDescent="0.2">
      <c r="A52" s="501"/>
      <c r="B52" s="501"/>
      <c r="C52" s="501"/>
      <c r="D52" s="501"/>
      <c r="E52" s="501"/>
      <c r="F52" s="501"/>
      <c r="G52" s="509"/>
      <c r="I52" s="509"/>
      <c r="J52" s="509"/>
      <c r="K52" s="509"/>
      <c r="L52" s="509"/>
      <c r="M52" s="509"/>
      <c r="N52" s="509"/>
      <c r="O52" s="509"/>
      <c r="P52" s="509"/>
      <c r="Q52" s="509"/>
      <c r="R52" s="509"/>
      <c r="S52" s="509"/>
      <c r="T52" s="509"/>
      <c r="U52" s="509"/>
      <c r="V52" s="509"/>
      <c r="W52" s="509"/>
      <c r="X52" s="509"/>
      <c r="Y52" s="509"/>
      <c r="Z52" s="509"/>
      <c r="AA52" s="509"/>
      <c r="AB52" s="509"/>
      <c r="AC52" s="509"/>
      <c r="AD52" s="509"/>
      <c r="AE52" s="509"/>
      <c r="AF52" s="509"/>
      <c r="AG52" s="509"/>
    </row>
    <row r="53" spans="1:33" ht="15" x14ac:dyDescent="0.2">
      <c r="A53" s="501"/>
      <c r="B53" s="501"/>
      <c r="C53" s="501"/>
      <c r="D53" s="501"/>
      <c r="E53" s="501"/>
      <c r="F53" s="501"/>
      <c r="G53" s="509"/>
      <c r="I53" s="509"/>
      <c r="J53" s="509"/>
      <c r="K53" s="509"/>
      <c r="L53" s="509"/>
      <c r="M53" s="509"/>
      <c r="N53" s="509"/>
      <c r="O53" s="509"/>
      <c r="P53" s="509"/>
      <c r="Q53" s="509"/>
      <c r="R53" s="509"/>
      <c r="S53" s="509"/>
      <c r="T53" s="509"/>
      <c r="U53" s="509"/>
      <c r="V53" s="509"/>
      <c r="W53" s="509"/>
      <c r="X53" s="509"/>
      <c r="Y53" s="509"/>
      <c r="Z53" s="509"/>
      <c r="AA53" s="509"/>
      <c r="AB53" s="509"/>
      <c r="AC53" s="509"/>
      <c r="AD53" s="509"/>
      <c r="AE53" s="509"/>
      <c r="AF53" s="509"/>
      <c r="AG53" s="509"/>
    </row>
    <row r="54" spans="1:33" ht="15" x14ac:dyDescent="0.2">
      <c r="A54" s="501"/>
      <c r="B54" s="501"/>
      <c r="C54" s="501"/>
      <c r="D54" s="501"/>
      <c r="E54" s="501"/>
      <c r="F54" s="501"/>
      <c r="G54" s="509"/>
      <c r="I54" s="509"/>
      <c r="J54" s="509"/>
      <c r="K54" s="509"/>
      <c r="L54" s="509"/>
      <c r="M54" s="509"/>
      <c r="N54" s="509"/>
      <c r="O54" s="509"/>
      <c r="P54" s="509"/>
      <c r="Q54" s="509"/>
      <c r="R54" s="509"/>
      <c r="S54" s="509"/>
      <c r="T54" s="509"/>
      <c r="U54" s="509"/>
      <c r="V54" s="509"/>
      <c r="W54" s="509"/>
      <c r="X54" s="509"/>
      <c r="Y54" s="509"/>
      <c r="Z54" s="509"/>
      <c r="AA54" s="509"/>
      <c r="AB54" s="509"/>
      <c r="AC54" s="509"/>
      <c r="AD54" s="509"/>
      <c r="AE54" s="509"/>
      <c r="AF54" s="509"/>
      <c r="AG54" s="509"/>
    </row>
    <row r="55" spans="1:33" ht="15" x14ac:dyDescent="0.2">
      <c r="A55" s="501"/>
      <c r="B55" s="501"/>
      <c r="C55" s="501"/>
      <c r="D55" s="501"/>
      <c r="E55" s="501"/>
      <c r="F55" s="501"/>
      <c r="G55" s="509"/>
      <c r="I55" s="509"/>
      <c r="J55" s="509"/>
      <c r="K55" s="509"/>
      <c r="L55" s="509"/>
      <c r="M55" s="509"/>
      <c r="N55" s="509"/>
      <c r="O55" s="509"/>
      <c r="P55" s="509"/>
      <c r="Q55" s="509"/>
      <c r="R55" s="509"/>
      <c r="S55" s="509"/>
      <c r="T55" s="509"/>
      <c r="U55" s="509"/>
      <c r="V55" s="509"/>
      <c r="W55" s="509"/>
      <c r="X55" s="509"/>
      <c r="Y55" s="509"/>
      <c r="Z55" s="509"/>
      <c r="AA55" s="509"/>
      <c r="AB55" s="509"/>
      <c r="AC55" s="509"/>
      <c r="AD55" s="509"/>
      <c r="AE55" s="509"/>
      <c r="AF55" s="509"/>
      <c r="AG55" s="509"/>
    </row>
    <row r="56" spans="1:33" ht="15" x14ac:dyDescent="0.2">
      <c r="A56" s="501"/>
      <c r="B56" s="501"/>
      <c r="C56" s="501"/>
      <c r="D56" s="501"/>
      <c r="E56" s="501"/>
      <c r="F56" s="501"/>
      <c r="G56" s="509"/>
      <c r="I56" s="509"/>
      <c r="J56" s="509"/>
      <c r="K56" s="509"/>
      <c r="L56" s="509"/>
      <c r="M56" s="509"/>
      <c r="N56" s="509"/>
      <c r="O56" s="509"/>
      <c r="P56" s="509"/>
      <c r="Q56" s="509"/>
      <c r="R56" s="509"/>
      <c r="S56" s="509"/>
      <c r="T56" s="509"/>
      <c r="U56" s="509"/>
      <c r="V56" s="509"/>
      <c r="W56" s="509"/>
      <c r="X56" s="509"/>
      <c r="Y56" s="509"/>
      <c r="Z56" s="509"/>
      <c r="AA56" s="509"/>
      <c r="AB56" s="509"/>
      <c r="AC56" s="509"/>
      <c r="AD56" s="509"/>
      <c r="AE56" s="509"/>
      <c r="AF56" s="509"/>
      <c r="AG56" s="509"/>
    </row>
    <row r="57" spans="1:33" ht="15" x14ac:dyDescent="0.2">
      <c r="A57" s="501"/>
      <c r="B57" s="501"/>
      <c r="C57" s="501"/>
      <c r="D57" s="501"/>
      <c r="E57" s="501"/>
      <c r="F57" s="501"/>
      <c r="G57" s="509"/>
      <c r="I57" s="509"/>
      <c r="J57" s="509"/>
      <c r="K57" s="509"/>
      <c r="L57" s="509"/>
      <c r="M57" s="509"/>
      <c r="N57" s="509"/>
      <c r="O57" s="509"/>
      <c r="P57" s="509"/>
      <c r="Q57" s="509"/>
      <c r="R57" s="509"/>
      <c r="S57" s="509"/>
      <c r="T57" s="509"/>
      <c r="U57" s="509"/>
      <c r="V57" s="509"/>
      <c r="W57" s="509"/>
      <c r="X57" s="509"/>
      <c r="Y57" s="509"/>
      <c r="Z57" s="509"/>
      <c r="AA57" s="509"/>
      <c r="AB57" s="509"/>
      <c r="AC57" s="509"/>
      <c r="AD57" s="509"/>
      <c r="AE57" s="509"/>
      <c r="AF57" s="509"/>
      <c r="AG57" s="509"/>
    </row>
    <row r="58" spans="1:33" ht="15" x14ac:dyDescent="0.2">
      <c r="A58" s="501"/>
      <c r="B58" s="501"/>
      <c r="C58" s="501"/>
      <c r="D58" s="501"/>
      <c r="E58" s="501"/>
      <c r="F58" s="501"/>
      <c r="G58" s="509"/>
      <c r="I58" s="509"/>
      <c r="J58" s="509"/>
      <c r="K58" s="509"/>
      <c r="L58" s="509"/>
      <c r="M58" s="509"/>
      <c r="N58" s="509"/>
      <c r="O58" s="509"/>
      <c r="P58" s="509"/>
      <c r="Q58" s="509"/>
      <c r="R58" s="509"/>
      <c r="S58" s="509"/>
      <c r="T58" s="509"/>
      <c r="U58" s="509"/>
      <c r="V58" s="509"/>
      <c r="W58" s="509"/>
      <c r="X58" s="509"/>
      <c r="Y58" s="509"/>
      <c r="Z58" s="509"/>
      <c r="AA58" s="509"/>
      <c r="AB58" s="509"/>
      <c r="AC58" s="509"/>
      <c r="AD58" s="509"/>
      <c r="AE58" s="509"/>
      <c r="AF58" s="509"/>
      <c r="AG58" s="509"/>
    </row>
    <row r="59" spans="1:33" ht="15" x14ac:dyDescent="0.2">
      <c r="A59" s="501"/>
      <c r="B59" s="501"/>
      <c r="C59" s="501"/>
      <c r="D59" s="501"/>
      <c r="E59" s="501"/>
      <c r="F59" s="501"/>
      <c r="G59" s="509"/>
      <c r="I59" s="509"/>
      <c r="J59" s="509"/>
      <c r="K59" s="509"/>
      <c r="L59" s="509"/>
      <c r="M59" s="509"/>
      <c r="N59" s="509"/>
      <c r="O59" s="509"/>
      <c r="P59" s="509"/>
      <c r="Q59" s="509"/>
      <c r="R59" s="509"/>
      <c r="S59" s="509"/>
      <c r="T59" s="509"/>
      <c r="U59" s="509"/>
      <c r="V59" s="509"/>
      <c r="W59" s="509"/>
      <c r="X59" s="509"/>
      <c r="Y59" s="509"/>
      <c r="Z59" s="509"/>
      <c r="AA59" s="509"/>
      <c r="AB59" s="509"/>
      <c r="AC59" s="509"/>
      <c r="AD59" s="509"/>
      <c r="AE59" s="509"/>
      <c r="AF59" s="509"/>
      <c r="AG59" s="509"/>
    </row>
    <row r="60" spans="1:33" ht="15" x14ac:dyDescent="0.2">
      <c r="A60" s="501"/>
      <c r="B60" s="501"/>
      <c r="C60" s="501"/>
      <c r="D60" s="501"/>
      <c r="E60" s="501"/>
      <c r="F60" s="501"/>
      <c r="G60" s="509"/>
      <c r="I60" s="509"/>
      <c r="J60" s="509"/>
      <c r="K60" s="509"/>
      <c r="L60" s="509"/>
      <c r="M60" s="509"/>
      <c r="N60" s="509"/>
      <c r="O60" s="509"/>
      <c r="P60" s="509"/>
      <c r="Q60" s="509"/>
      <c r="R60" s="509"/>
      <c r="S60" s="509"/>
      <c r="T60" s="509"/>
      <c r="U60" s="509"/>
      <c r="V60" s="509"/>
      <c r="W60" s="509"/>
      <c r="X60" s="509"/>
      <c r="Y60" s="509"/>
      <c r="Z60" s="509"/>
      <c r="AA60" s="509"/>
      <c r="AB60" s="509"/>
      <c r="AC60" s="509"/>
      <c r="AD60" s="509"/>
      <c r="AE60" s="509"/>
      <c r="AF60" s="509"/>
      <c r="AG60" s="509"/>
    </row>
    <row r="61" spans="1:33" ht="15" x14ac:dyDescent="0.2">
      <c r="A61" s="501"/>
      <c r="B61" s="501"/>
      <c r="C61" s="501"/>
      <c r="D61" s="501"/>
      <c r="E61" s="501"/>
      <c r="F61" s="501"/>
      <c r="G61" s="509"/>
      <c r="I61" s="509"/>
      <c r="J61" s="509"/>
      <c r="K61" s="509"/>
      <c r="L61" s="509"/>
      <c r="M61" s="509"/>
      <c r="N61" s="509"/>
      <c r="O61" s="509"/>
      <c r="P61" s="509"/>
      <c r="Q61" s="509"/>
      <c r="R61" s="509"/>
      <c r="S61" s="509"/>
      <c r="T61" s="509"/>
      <c r="U61" s="509"/>
      <c r="V61" s="509"/>
      <c r="W61" s="509"/>
      <c r="X61" s="509"/>
      <c r="Y61" s="509"/>
      <c r="Z61" s="509"/>
      <c r="AA61" s="509"/>
      <c r="AB61" s="509"/>
      <c r="AC61" s="509"/>
      <c r="AD61" s="509"/>
      <c r="AE61" s="509"/>
      <c r="AF61" s="509"/>
      <c r="AG61" s="509"/>
    </row>
    <row r="62" spans="1:33" ht="15" x14ac:dyDescent="0.2">
      <c r="A62" s="501"/>
      <c r="B62" s="501"/>
      <c r="C62" s="501"/>
      <c r="D62" s="501"/>
      <c r="E62" s="501"/>
      <c r="F62" s="501"/>
      <c r="G62" s="509"/>
      <c r="I62" s="509"/>
      <c r="J62" s="509"/>
      <c r="K62" s="509"/>
      <c r="L62" s="509"/>
      <c r="M62" s="509"/>
      <c r="N62" s="509"/>
      <c r="O62" s="509"/>
      <c r="P62" s="509"/>
      <c r="Q62" s="509"/>
      <c r="R62" s="509"/>
      <c r="S62" s="509"/>
      <c r="T62" s="509"/>
      <c r="U62" s="509"/>
      <c r="V62" s="509"/>
      <c r="W62" s="509"/>
      <c r="X62" s="509"/>
      <c r="Y62" s="509"/>
      <c r="Z62" s="509"/>
      <c r="AA62" s="509"/>
      <c r="AB62" s="509"/>
      <c r="AC62" s="509"/>
      <c r="AD62" s="509"/>
      <c r="AE62" s="509"/>
      <c r="AF62" s="509"/>
      <c r="AG62" s="509"/>
    </row>
    <row r="63" spans="1:33" ht="15" x14ac:dyDescent="0.2">
      <c r="A63" s="501"/>
      <c r="B63" s="501"/>
      <c r="C63" s="501"/>
      <c r="D63" s="501"/>
      <c r="E63" s="501"/>
      <c r="F63" s="501"/>
      <c r="G63" s="509"/>
      <c r="I63" s="509"/>
      <c r="J63" s="509"/>
      <c r="K63" s="509"/>
      <c r="L63" s="509"/>
      <c r="M63" s="509"/>
      <c r="N63" s="509"/>
      <c r="O63" s="509"/>
      <c r="P63" s="509"/>
      <c r="Q63" s="509"/>
      <c r="R63" s="509"/>
      <c r="S63" s="509"/>
      <c r="T63" s="509"/>
      <c r="U63" s="509"/>
      <c r="V63" s="509"/>
      <c r="W63" s="509"/>
      <c r="X63" s="509"/>
      <c r="Y63" s="509"/>
      <c r="Z63" s="509"/>
      <c r="AA63" s="509"/>
      <c r="AB63" s="509"/>
      <c r="AC63" s="509"/>
      <c r="AD63" s="509"/>
      <c r="AE63" s="509"/>
      <c r="AF63" s="509"/>
      <c r="AG63" s="509"/>
    </row>
    <row r="64" spans="1:33" ht="15" x14ac:dyDescent="0.2">
      <c r="A64" s="501"/>
      <c r="B64" s="501"/>
      <c r="C64" s="501"/>
      <c r="D64" s="501"/>
      <c r="E64" s="501"/>
      <c r="F64" s="501"/>
      <c r="G64" s="509"/>
      <c r="I64" s="509"/>
      <c r="J64" s="509"/>
      <c r="K64" s="509"/>
      <c r="L64" s="509"/>
      <c r="M64" s="509"/>
      <c r="N64" s="509"/>
      <c r="O64" s="509"/>
      <c r="P64" s="509"/>
      <c r="Q64" s="509"/>
      <c r="R64" s="509"/>
      <c r="S64" s="509"/>
      <c r="T64" s="509"/>
      <c r="U64" s="509"/>
      <c r="V64" s="509"/>
      <c r="W64" s="509"/>
      <c r="X64" s="509"/>
      <c r="Y64" s="509"/>
      <c r="Z64" s="509"/>
      <c r="AA64" s="509"/>
      <c r="AB64" s="509"/>
      <c r="AC64" s="509"/>
      <c r="AD64" s="509"/>
      <c r="AE64" s="509"/>
      <c r="AF64" s="509"/>
      <c r="AG64" s="509"/>
    </row>
    <row r="65" spans="1:33" ht="15" x14ac:dyDescent="0.2">
      <c r="A65" s="501"/>
      <c r="B65" s="501"/>
      <c r="C65" s="501"/>
      <c r="D65" s="501"/>
      <c r="E65" s="501"/>
      <c r="F65" s="501"/>
      <c r="G65" s="509"/>
      <c r="I65" s="509"/>
      <c r="J65" s="509"/>
      <c r="K65" s="509"/>
      <c r="L65" s="509"/>
      <c r="M65" s="509"/>
      <c r="N65" s="509"/>
      <c r="O65" s="509"/>
      <c r="P65" s="509"/>
      <c r="Q65" s="509"/>
      <c r="R65" s="509"/>
      <c r="S65" s="509"/>
      <c r="T65" s="509"/>
      <c r="U65" s="509"/>
      <c r="V65" s="509"/>
      <c r="W65" s="509"/>
      <c r="X65" s="509"/>
      <c r="Y65" s="509"/>
      <c r="Z65" s="509"/>
      <c r="AA65" s="509"/>
      <c r="AB65" s="509"/>
      <c r="AC65" s="509"/>
      <c r="AD65" s="509"/>
      <c r="AE65" s="509"/>
      <c r="AF65" s="509"/>
      <c r="AG65" s="509"/>
    </row>
    <row r="66" spans="1:33" ht="15" x14ac:dyDescent="0.2">
      <c r="A66" s="501"/>
      <c r="B66" s="501"/>
      <c r="C66" s="501"/>
      <c r="D66" s="501"/>
      <c r="E66" s="501"/>
      <c r="F66" s="501"/>
      <c r="G66" s="509"/>
      <c r="I66" s="509"/>
      <c r="J66" s="509"/>
      <c r="K66" s="509"/>
      <c r="L66" s="509"/>
      <c r="M66" s="509"/>
      <c r="N66" s="509"/>
      <c r="O66" s="509"/>
      <c r="P66" s="509"/>
      <c r="Q66" s="509"/>
      <c r="R66" s="509"/>
      <c r="S66" s="509"/>
      <c r="T66" s="509"/>
      <c r="U66" s="509"/>
      <c r="V66" s="509"/>
      <c r="W66" s="509"/>
      <c r="X66" s="509"/>
      <c r="Y66" s="509"/>
      <c r="Z66" s="509"/>
      <c r="AA66" s="509"/>
      <c r="AB66" s="509"/>
      <c r="AC66" s="509"/>
      <c r="AD66" s="509"/>
      <c r="AE66" s="509"/>
      <c r="AF66" s="509"/>
      <c r="AG66" s="509"/>
    </row>
    <row r="67" spans="1:33" ht="15" x14ac:dyDescent="0.2">
      <c r="A67" s="501"/>
      <c r="B67" s="501"/>
      <c r="C67" s="501"/>
      <c r="D67" s="501"/>
      <c r="E67" s="501"/>
      <c r="F67" s="501"/>
      <c r="G67" s="509"/>
      <c r="I67" s="509"/>
      <c r="J67" s="509"/>
      <c r="K67" s="509"/>
      <c r="L67" s="509"/>
      <c r="M67" s="509"/>
      <c r="N67" s="509"/>
      <c r="O67" s="509"/>
      <c r="P67" s="509"/>
      <c r="Q67" s="509"/>
      <c r="R67" s="509"/>
      <c r="S67" s="509"/>
      <c r="T67" s="509"/>
      <c r="U67" s="509"/>
      <c r="V67" s="509"/>
      <c r="W67" s="509"/>
      <c r="X67" s="509"/>
      <c r="Y67" s="509"/>
      <c r="Z67" s="509"/>
      <c r="AA67" s="509"/>
      <c r="AB67" s="509"/>
      <c r="AC67" s="509"/>
      <c r="AD67" s="509"/>
      <c r="AE67" s="509"/>
      <c r="AF67" s="509"/>
      <c r="AG67" s="509"/>
    </row>
    <row r="68" spans="1:33" ht="15" x14ac:dyDescent="0.2">
      <c r="A68" s="501"/>
      <c r="B68" s="501"/>
      <c r="C68" s="501"/>
      <c r="D68" s="501"/>
      <c r="E68" s="501"/>
      <c r="F68" s="501"/>
      <c r="G68" s="509"/>
      <c r="I68" s="509"/>
      <c r="J68" s="509"/>
      <c r="K68" s="509"/>
      <c r="L68" s="509"/>
      <c r="M68" s="509"/>
      <c r="N68" s="509"/>
      <c r="O68" s="509"/>
      <c r="P68" s="509"/>
      <c r="Q68" s="509"/>
      <c r="R68" s="509"/>
      <c r="S68" s="509"/>
      <c r="T68" s="509"/>
      <c r="U68" s="509"/>
      <c r="V68" s="509"/>
      <c r="W68" s="509"/>
      <c r="X68" s="509"/>
      <c r="Y68" s="509"/>
      <c r="Z68" s="509"/>
      <c r="AA68" s="509"/>
      <c r="AB68" s="509"/>
      <c r="AC68" s="509"/>
      <c r="AD68" s="509"/>
      <c r="AE68" s="509"/>
      <c r="AF68" s="509"/>
      <c r="AG68" s="509"/>
    </row>
    <row r="69" spans="1:33" ht="15" x14ac:dyDescent="0.2">
      <c r="A69" s="501"/>
      <c r="B69" s="501"/>
      <c r="C69" s="501"/>
      <c r="D69" s="501"/>
      <c r="E69" s="501"/>
      <c r="F69" s="501"/>
      <c r="G69" s="509"/>
      <c r="I69" s="509"/>
      <c r="J69" s="509"/>
      <c r="K69" s="509"/>
      <c r="L69" s="509"/>
      <c r="M69" s="509"/>
      <c r="N69" s="509"/>
      <c r="O69" s="509"/>
      <c r="P69" s="509"/>
      <c r="Q69" s="509"/>
      <c r="R69" s="509"/>
      <c r="S69" s="509"/>
      <c r="T69" s="509"/>
      <c r="U69" s="509"/>
      <c r="V69" s="509"/>
      <c r="W69" s="509"/>
      <c r="X69" s="509"/>
      <c r="Y69" s="509"/>
      <c r="Z69" s="509"/>
      <c r="AA69" s="509"/>
      <c r="AB69" s="509"/>
      <c r="AC69" s="509"/>
      <c r="AD69" s="509"/>
      <c r="AE69" s="509"/>
      <c r="AF69" s="509"/>
      <c r="AG69" s="509"/>
    </row>
    <row r="70" spans="1:33" ht="15" x14ac:dyDescent="0.2">
      <c r="A70" s="501"/>
      <c r="B70" s="501"/>
      <c r="C70" s="501"/>
      <c r="D70" s="501"/>
      <c r="E70" s="501"/>
      <c r="F70" s="501"/>
      <c r="G70" s="509"/>
      <c r="I70" s="509"/>
      <c r="J70" s="509"/>
      <c r="K70" s="509"/>
      <c r="L70" s="509"/>
      <c r="M70" s="509"/>
      <c r="N70" s="509"/>
      <c r="O70" s="509"/>
      <c r="P70" s="509"/>
      <c r="Q70" s="509"/>
      <c r="R70" s="509"/>
      <c r="S70" s="509"/>
      <c r="T70" s="509"/>
      <c r="U70" s="509"/>
      <c r="V70" s="509"/>
      <c r="W70" s="509"/>
      <c r="X70" s="509"/>
      <c r="Y70" s="509"/>
      <c r="Z70" s="509"/>
      <c r="AA70" s="509"/>
      <c r="AB70" s="509"/>
      <c r="AC70" s="509"/>
      <c r="AD70" s="509"/>
      <c r="AE70" s="509"/>
      <c r="AF70" s="509"/>
      <c r="AG70" s="509"/>
    </row>
    <row r="71" spans="1:33" ht="15" x14ac:dyDescent="0.2">
      <c r="A71" s="501"/>
      <c r="B71" s="501"/>
      <c r="C71" s="501"/>
      <c r="D71" s="501"/>
      <c r="E71" s="501"/>
      <c r="F71" s="501"/>
      <c r="G71" s="509"/>
      <c r="I71" s="509"/>
      <c r="J71" s="509"/>
      <c r="K71" s="509"/>
      <c r="L71" s="509"/>
      <c r="M71" s="509"/>
      <c r="N71" s="509"/>
      <c r="O71" s="509"/>
      <c r="P71" s="509"/>
      <c r="Q71" s="509"/>
      <c r="R71" s="509"/>
      <c r="S71" s="509"/>
      <c r="T71" s="509"/>
      <c r="U71" s="509"/>
      <c r="V71" s="509"/>
      <c r="W71" s="509"/>
      <c r="X71" s="509"/>
      <c r="Y71" s="509"/>
      <c r="Z71" s="509"/>
      <c r="AA71" s="509"/>
      <c r="AB71" s="509"/>
      <c r="AC71" s="509"/>
      <c r="AD71" s="509"/>
      <c r="AE71" s="509"/>
      <c r="AF71" s="509"/>
      <c r="AG71" s="509"/>
    </row>
    <row r="72" spans="1:33" ht="15" x14ac:dyDescent="0.2">
      <c r="A72" s="501"/>
      <c r="B72" s="501"/>
      <c r="C72" s="501"/>
      <c r="D72" s="501"/>
      <c r="E72" s="501"/>
      <c r="F72" s="501"/>
      <c r="G72" s="509"/>
      <c r="I72" s="509"/>
      <c r="J72" s="509"/>
      <c r="K72" s="509"/>
      <c r="L72" s="509"/>
      <c r="M72" s="509"/>
      <c r="N72" s="509"/>
      <c r="O72" s="509"/>
      <c r="P72" s="509"/>
      <c r="Q72" s="509"/>
      <c r="R72" s="509"/>
      <c r="S72" s="509"/>
      <c r="T72" s="509"/>
      <c r="U72" s="509"/>
      <c r="V72" s="509"/>
      <c r="W72" s="509"/>
      <c r="X72" s="509"/>
      <c r="Y72" s="509"/>
      <c r="Z72" s="509"/>
      <c r="AA72" s="509"/>
      <c r="AB72" s="509"/>
      <c r="AC72" s="509"/>
      <c r="AD72" s="509"/>
      <c r="AE72" s="509"/>
      <c r="AF72" s="509"/>
      <c r="AG72" s="509"/>
    </row>
    <row r="73" spans="1:33" ht="15" x14ac:dyDescent="0.2">
      <c r="A73" s="501"/>
      <c r="B73" s="501"/>
      <c r="C73" s="501"/>
      <c r="D73" s="501"/>
      <c r="E73" s="501"/>
      <c r="F73" s="501"/>
      <c r="G73" s="509"/>
      <c r="I73" s="509"/>
      <c r="J73" s="509"/>
      <c r="K73" s="509"/>
      <c r="L73" s="509"/>
      <c r="M73" s="509"/>
      <c r="N73" s="509"/>
      <c r="O73" s="509"/>
      <c r="P73" s="509"/>
      <c r="Q73" s="509"/>
      <c r="R73" s="509"/>
      <c r="S73" s="509"/>
      <c r="T73" s="509"/>
      <c r="U73" s="509"/>
      <c r="V73" s="509"/>
      <c r="W73" s="509"/>
      <c r="X73" s="509"/>
      <c r="Y73" s="509"/>
      <c r="Z73" s="509"/>
      <c r="AA73" s="509"/>
      <c r="AB73" s="509"/>
      <c r="AC73" s="509"/>
      <c r="AD73" s="509"/>
      <c r="AE73" s="509"/>
      <c r="AF73" s="509"/>
      <c r="AG73" s="509"/>
    </row>
    <row r="74" spans="1:33" ht="15" x14ac:dyDescent="0.2">
      <c r="A74" s="501"/>
      <c r="B74" s="501"/>
      <c r="C74" s="501"/>
      <c r="D74" s="501"/>
      <c r="E74" s="501"/>
      <c r="F74" s="501"/>
      <c r="G74" s="509"/>
      <c r="I74" s="509"/>
      <c r="J74" s="509"/>
      <c r="K74" s="509"/>
      <c r="L74" s="509"/>
      <c r="M74" s="509"/>
      <c r="N74" s="509"/>
      <c r="O74" s="509"/>
      <c r="P74" s="509"/>
      <c r="Q74" s="509"/>
      <c r="R74" s="509"/>
      <c r="S74" s="509"/>
      <c r="T74" s="509"/>
      <c r="U74" s="509"/>
      <c r="V74" s="509"/>
      <c r="W74" s="509"/>
      <c r="X74" s="509"/>
      <c r="Y74" s="509"/>
      <c r="Z74" s="509"/>
      <c r="AA74" s="509"/>
      <c r="AB74" s="509"/>
      <c r="AC74" s="509"/>
      <c r="AD74" s="509"/>
      <c r="AE74" s="509"/>
      <c r="AF74" s="509"/>
      <c r="AG74" s="509"/>
    </row>
    <row r="75" spans="1:33" ht="15" x14ac:dyDescent="0.2">
      <c r="A75" s="501"/>
      <c r="B75" s="501"/>
      <c r="C75" s="501"/>
      <c r="D75" s="501"/>
      <c r="E75" s="501"/>
      <c r="F75" s="501"/>
      <c r="G75" s="509"/>
      <c r="I75" s="509"/>
      <c r="J75" s="509"/>
      <c r="K75" s="509"/>
      <c r="L75" s="509"/>
      <c r="M75" s="509"/>
      <c r="N75" s="509"/>
      <c r="O75" s="509"/>
      <c r="P75" s="509"/>
      <c r="Q75" s="509"/>
      <c r="R75" s="509"/>
      <c r="S75" s="509"/>
      <c r="T75" s="509"/>
      <c r="U75" s="509"/>
      <c r="V75" s="509"/>
      <c r="W75" s="509"/>
      <c r="X75" s="509"/>
      <c r="Y75" s="509"/>
      <c r="Z75" s="509"/>
      <c r="AA75" s="509"/>
      <c r="AB75" s="509"/>
      <c r="AC75" s="509"/>
      <c r="AD75" s="509"/>
      <c r="AE75" s="509"/>
      <c r="AF75" s="509"/>
      <c r="AG75" s="509"/>
    </row>
    <row r="76" spans="1:33" ht="15" x14ac:dyDescent="0.2">
      <c r="A76" s="501"/>
      <c r="B76" s="501"/>
      <c r="C76" s="501"/>
      <c r="D76" s="501"/>
      <c r="E76" s="501"/>
      <c r="F76" s="501"/>
      <c r="G76" s="509"/>
      <c r="I76" s="509"/>
      <c r="J76" s="509"/>
      <c r="K76" s="509"/>
      <c r="L76" s="509"/>
      <c r="M76" s="509"/>
      <c r="N76" s="509"/>
      <c r="O76" s="509"/>
      <c r="P76" s="509"/>
      <c r="Q76" s="509"/>
      <c r="R76" s="509"/>
      <c r="S76" s="509"/>
      <c r="T76" s="509"/>
      <c r="U76" s="509"/>
      <c r="V76" s="509"/>
      <c r="W76" s="509"/>
      <c r="X76" s="509"/>
      <c r="Y76" s="509"/>
      <c r="Z76" s="509"/>
      <c r="AA76" s="509"/>
      <c r="AB76" s="509"/>
      <c r="AC76" s="509"/>
      <c r="AD76" s="509"/>
      <c r="AE76" s="509"/>
      <c r="AF76" s="509"/>
      <c r="AG76" s="509"/>
    </row>
    <row r="77" spans="1:33" ht="15" x14ac:dyDescent="0.2">
      <c r="A77" s="501"/>
      <c r="B77" s="501"/>
      <c r="C77" s="501"/>
      <c r="D77" s="501"/>
      <c r="E77" s="501"/>
      <c r="F77" s="501"/>
      <c r="G77" s="509"/>
      <c r="I77" s="509"/>
      <c r="J77" s="509"/>
      <c r="K77" s="509"/>
      <c r="L77" s="509"/>
      <c r="M77" s="509"/>
      <c r="N77" s="509"/>
      <c r="O77" s="509"/>
      <c r="P77" s="509"/>
      <c r="Q77" s="509"/>
      <c r="R77" s="509"/>
      <c r="S77" s="509"/>
      <c r="T77" s="509"/>
      <c r="U77" s="509"/>
      <c r="V77" s="509"/>
      <c r="W77" s="509"/>
      <c r="X77" s="509"/>
      <c r="Y77" s="509"/>
      <c r="Z77" s="509"/>
      <c r="AA77" s="509"/>
      <c r="AB77" s="509"/>
      <c r="AC77" s="509"/>
      <c r="AD77" s="509"/>
      <c r="AE77" s="509"/>
      <c r="AF77" s="509"/>
      <c r="AG77" s="509"/>
    </row>
  </sheetData>
  <sheetProtection algorithmName="SHA-512" hashValue="E7cbMuVDKsHS7oLjkFPNLK1n741bek3dveTOiHD94hKgbUw/QmDnP+em6BRBRgU861ZapY3/MMyCwFU7i6MrJw==" saltValue="9F0bHLmsr0hl1veD+JOt2A==" spinCount="100000" sheet="1" objects="1" scenarios="1" selectLockedCells="1" selectUnlockedCells="1"/>
  <mergeCells count="3">
    <mergeCell ref="B2:F2"/>
    <mergeCell ref="B3:F3"/>
    <mergeCell ref="B45:F48"/>
  </mergeCells>
  <conditionalFormatting sqref="E6 E39:E41 E13 E22 E29 E37 E8">
    <cfRule type="cellIs" dxfId="211" priority="76" operator="equal">
      <formula>"Valid"</formula>
    </cfRule>
    <cfRule type="cellIs" dxfId="210" priority="77" operator="equal">
      <formula>"Invalid"</formula>
    </cfRule>
  </conditionalFormatting>
  <conditionalFormatting sqref="E38">
    <cfRule type="cellIs" dxfId="209" priority="71" operator="equal">
      <formula>"Valid"</formula>
    </cfRule>
    <cfRule type="cellIs" dxfId="208" priority="72" operator="equal">
      <formula>"Invalid"</formula>
    </cfRule>
  </conditionalFormatting>
  <conditionalFormatting sqref="E14">
    <cfRule type="cellIs" dxfId="207" priority="69" operator="equal">
      <formula>"Valid"</formula>
    </cfRule>
    <cfRule type="cellIs" dxfId="206" priority="70" operator="equal">
      <formula>"Invalid"</formula>
    </cfRule>
  </conditionalFormatting>
  <conditionalFormatting sqref="E15 E17">
    <cfRule type="cellIs" dxfId="205" priority="66" operator="equal">
      <formula>"Valid"</formula>
    </cfRule>
    <cfRule type="cellIs" dxfId="204" priority="67" operator="equal">
      <formula>"Invalid"</formula>
    </cfRule>
  </conditionalFormatting>
  <conditionalFormatting sqref="E18">
    <cfRule type="cellIs" dxfId="203" priority="63" operator="equal">
      <formula>"Valid"</formula>
    </cfRule>
    <cfRule type="cellIs" dxfId="202" priority="64" operator="equal">
      <formula>"Invalid"</formula>
    </cfRule>
  </conditionalFormatting>
  <conditionalFormatting sqref="E19">
    <cfRule type="cellIs" dxfId="201" priority="60" operator="equal">
      <formula>"Valid"</formula>
    </cfRule>
    <cfRule type="cellIs" dxfId="200" priority="61" operator="equal">
      <formula>"Invalid"</formula>
    </cfRule>
  </conditionalFormatting>
  <conditionalFormatting sqref="E20">
    <cfRule type="cellIs" dxfId="199" priority="57" operator="equal">
      <formula>"Valid"</formula>
    </cfRule>
    <cfRule type="cellIs" dxfId="198" priority="58" operator="equal">
      <formula>"Invalid"</formula>
    </cfRule>
  </conditionalFormatting>
  <conditionalFormatting sqref="E9">
    <cfRule type="cellIs" dxfId="197" priority="53" operator="equal">
      <formula>"Valid"</formula>
    </cfRule>
    <cfRule type="cellIs" dxfId="196" priority="54" operator="equal">
      <formula>"Invalid"</formula>
    </cfRule>
  </conditionalFormatting>
  <conditionalFormatting sqref="E10">
    <cfRule type="cellIs" dxfId="195" priority="50" operator="equal">
      <formula>"Valid"</formula>
    </cfRule>
    <cfRule type="cellIs" dxfId="194" priority="51" operator="equal">
      <formula>"Invalid"</formula>
    </cfRule>
  </conditionalFormatting>
  <conditionalFormatting sqref="E11">
    <cfRule type="cellIs" dxfId="193" priority="47" operator="equal">
      <formula>"Valid"</formula>
    </cfRule>
    <cfRule type="cellIs" dxfId="192" priority="48" operator="equal">
      <formula>"Invalid"</formula>
    </cfRule>
  </conditionalFormatting>
  <conditionalFormatting sqref="E12">
    <cfRule type="cellIs" dxfId="191" priority="44" operator="equal">
      <formula>"Valid"</formula>
    </cfRule>
    <cfRule type="cellIs" dxfId="190" priority="45" operator="equal">
      <formula>"Invalid"</formula>
    </cfRule>
  </conditionalFormatting>
  <conditionalFormatting sqref="E21">
    <cfRule type="cellIs" dxfId="189" priority="42" operator="equal">
      <formula>"Valid"</formula>
    </cfRule>
    <cfRule type="cellIs" dxfId="188" priority="43" operator="equal">
      <formula>"Invalid"</formula>
    </cfRule>
  </conditionalFormatting>
  <conditionalFormatting sqref="E23">
    <cfRule type="cellIs" dxfId="187" priority="39" operator="equal">
      <formula>"Valid"</formula>
    </cfRule>
    <cfRule type="cellIs" dxfId="186" priority="40" operator="equal">
      <formula>"Invalid"</formula>
    </cfRule>
  </conditionalFormatting>
  <conditionalFormatting sqref="E24">
    <cfRule type="cellIs" dxfId="185" priority="36" operator="equal">
      <formula>"Valid"</formula>
    </cfRule>
    <cfRule type="cellIs" dxfId="184" priority="37" operator="equal">
      <formula>"Invalid"</formula>
    </cfRule>
  </conditionalFormatting>
  <conditionalFormatting sqref="E25">
    <cfRule type="cellIs" dxfId="183" priority="33" operator="equal">
      <formula>"Valid"</formula>
    </cfRule>
    <cfRule type="cellIs" dxfId="182" priority="34" operator="equal">
      <formula>"Invalid"</formula>
    </cfRule>
  </conditionalFormatting>
  <conditionalFormatting sqref="E26">
    <cfRule type="cellIs" dxfId="181" priority="30" operator="equal">
      <formula>"Valid"</formula>
    </cfRule>
    <cfRule type="cellIs" dxfId="180" priority="31" operator="equal">
      <formula>"Invalid"</formula>
    </cfRule>
  </conditionalFormatting>
  <conditionalFormatting sqref="E27">
    <cfRule type="cellIs" dxfId="179" priority="27" operator="equal">
      <formula>"Valid"</formula>
    </cfRule>
    <cfRule type="cellIs" dxfId="178" priority="28" operator="equal">
      <formula>"Invalid"</formula>
    </cfRule>
  </conditionalFormatting>
  <conditionalFormatting sqref="E28">
    <cfRule type="cellIs" dxfId="177" priority="24" operator="equal">
      <formula>"Valid"</formula>
    </cfRule>
    <cfRule type="cellIs" dxfId="176" priority="25" operator="equal">
      <formula>"Invalid"</formula>
    </cfRule>
  </conditionalFormatting>
  <conditionalFormatting sqref="E30">
    <cfRule type="cellIs" dxfId="175" priority="21" operator="equal">
      <formula>"Valid"</formula>
    </cfRule>
    <cfRule type="cellIs" dxfId="174" priority="22" operator="equal">
      <formula>"Invalid"</formula>
    </cfRule>
  </conditionalFormatting>
  <conditionalFormatting sqref="E31">
    <cfRule type="cellIs" dxfId="173" priority="18" operator="equal">
      <formula>"Valid"</formula>
    </cfRule>
    <cfRule type="cellIs" dxfId="172" priority="19" operator="equal">
      <formula>"Invalid"</formula>
    </cfRule>
  </conditionalFormatting>
  <conditionalFormatting sqref="E32:E33">
    <cfRule type="cellIs" dxfId="171" priority="15" operator="equal">
      <formula>"Valid"</formula>
    </cfRule>
    <cfRule type="cellIs" dxfId="170" priority="16" operator="equal">
      <formula>"Invalid"</formula>
    </cfRule>
  </conditionalFormatting>
  <conditionalFormatting sqref="E16">
    <cfRule type="cellIs" dxfId="169" priority="12" operator="equal">
      <formula>"Valid"</formula>
    </cfRule>
    <cfRule type="cellIs" dxfId="168" priority="13" operator="equal">
      <formula>"Invalid"</formula>
    </cfRule>
  </conditionalFormatting>
  <conditionalFormatting sqref="E34:E35">
    <cfRule type="cellIs" dxfId="167" priority="9" operator="equal">
      <formula>"Valid"</formula>
    </cfRule>
    <cfRule type="cellIs" dxfId="166" priority="10" operator="equal">
      <formula>"Invalid"</formula>
    </cfRule>
  </conditionalFormatting>
  <conditionalFormatting sqref="E36">
    <cfRule type="cellIs" dxfId="165" priority="5" operator="equal">
      <formula>"Valid"</formula>
    </cfRule>
    <cfRule type="cellIs" dxfId="164" priority="6" operator="equal">
      <formula>"Invalid"</formula>
    </cfRule>
  </conditionalFormatting>
  <conditionalFormatting sqref="E7">
    <cfRule type="cellIs" dxfId="163" priority="1" operator="equal">
      <formula>"Valid"</formula>
    </cfRule>
    <cfRule type="cellIs" dxfId="162" priority="2" operator="equal">
      <formula>"Invalid"</formula>
    </cfRule>
  </conditionalFormatting>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extLst>
    <ext xmlns:x14="http://schemas.microsoft.com/office/spreadsheetml/2009/9/main" uri="{78C0D931-6437-407d-A8EE-F0AAD7539E65}">
      <x14:conditionalFormattings>
        <x14:conditionalFormatting xmlns:xm="http://schemas.microsoft.com/office/excel/2006/main">
          <x14:cfRule type="iconSet" priority="75" id="{1885DCE1-998F-426B-A389-95C30CD2BBC1}">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F38</xm:sqref>
        </x14:conditionalFormatting>
        <x14:conditionalFormatting xmlns:xm="http://schemas.microsoft.com/office/excel/2006/main">
          <x14:cfRule type="iconSet" priority="74" id="{3821D97A-9328-41F8-922E-F36F6ECA90B8}">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F40</xm:sqref>
        </x14:conditionalFormatting>
        <x14:conditionalFormatting xmlns:xm="http://schemas.microsoft.com/office/excel/2006/main">
          <x14:cfRule type="iconSet" priority="73" id="{6FCF675F-691A-482F-AFE4-8749D9F7F4F2}">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F41</xm:sqref>
        </x14:conditionalFormatting>
        <x14:conditionalFormatting xmlns:xm="http://schemas.microsoft.com/office/excel/2006/main">
          <x14:cfRule type="iconSet" priority="68" id="{A49EAA11-6A41-468B-B7FF-3A565D37AFC2}">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F14</xm:sqref>
        </x14:conditionalFormatting>
        <x14:conditionalFormatting xmlns:xm="http://schemas.microsoft.com/office/excel/2006/main">
          <x14:cfRule type="iconSet" priority="65" id="{5186C3D4-E617-4692-8805-A5A9F6DC1139}">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F17 F15</xm:sqref>
        </x14:conditionalFormatting>
        <x14:conditionalFormatting xmlns:xm="http://schemas.microsoft.com/office/excel/2006/main">
          <x14:cfRule type="iconSet" priority="62" id="{027E920E-477A-4E34-A320-43D142A181CD}">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F18</xm:sqref>
        </x14:conditionalFormatting>
        <x14:conditionalFormatting xmlns:xm="http://schemas.microsoft.com/office/excel/2006/main">
          <x14:cfRule type="iconSet" priority="59" id="{9AA766D6-4980-4244-A864-351D3ADA5B11}">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F19</xm:sqref>
        </x14:conditionalFormatting>
        <x14:conditionalFormatting xmlns:xm="http://schemas.microsoft.com/office/excel/2006/main">
          <x14:cfRule type="iconSet" priority="56" id="{952E23C3-7A17-4E42-857F-025BB8844A26}">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F20</xm:sqref>
        </x14:conditionalFormatting>
        <x14:conditionalFormatting xmlns:xm="http://schemas.microsoft.com/office/excel/2006/main">
          <x14:cfRule type="iconSet" priority="55" id="{A641F51B-DF23-4BD3-9583-BCA92C9A91EB}">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F9</xm:sqref>
        </x14:conditionalFormatting>
        <x14:conditionalFormatting xmlns:xm="http://schemas.microsoft.com/office/excel/2006/main">
          <x14:cfRule type="iconSet" priority="52" id="{F51CB187-85A0-4657-8D3E-2714EC030655}">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F10</xm:sqref>
        </x14:conditionalFormatting>
        <x14:conditionalFormatting xmlns:xm="http://schemas.microsoft.com/office/excel/2006/main">
          <x14:cfRule type="iconSet" priority="49" id="{C82FE23B-6550-4858-A183-CE091E8AEE35}">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F11</xm:sqref>
        </x14:conditionalFormatting>
        <x14:conditionalFormatting xmlns:xm="http://schemas.microsoft.com/office/excel/2006/main">
          <x14:cfRule type="iconSet" priority="46" id="{6C174B2A-E074-4576-8827-27A32AADA834}">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F12</xm:sqref>
        </x14:conditionalFormatting>
        <x14:conditionalFormatting xmlns:xm="http://schemas.microsoft.com/office/excel/2006/main">
          <x14:cfRule type="iconSet" priority="78" id="{C6A93C00-4BA1-4A2F-8F26-25E62CB19DCA}">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F13 F6 F8</xm:sqref>
        </x14:conditionalFormatting>
        <x14:conditionalFormatting xmlns:xm="http://schemas.microsoft.com/office/excel/2006/main">
          <x14:cfRule type="iconSet" priority="41" id="{1F70684E-1937-4F76-815C-D10863B691DE}">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F21</xm:sqref>
        </x14:conditionalFormatting>
        <x14:conditionalFormatting xmlns:xm="http://schemas.microsoft.com/office/excel/2006/main">
          <x14:cfRule type="iconSet" priority="79" id="{74E8BEAA-3BEA-4C44-ACC4-7F5567D7BFF6}">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F22</xm:sqref>
        </x14:conditionalFormatting>
        <x14:conditionalFormatting xmlns:xm="http://schemas.microsoft.com/office/excel/2006/main">
          <x14:cfRule type="iconSet" priority="38" id="{58F262AC-9E6C-4441-ABF9-9ED1CF64EDBB}">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F23</xm:sqref>
        </x14:conditionalFormatting>
        <x14:conditionalFormatting xmlns:xm="http://schemas.microsoft.com/office/excel/2006/main">
          <x14:cfRule type="iconSet" priority="35" id="{26A82ACD-9970-4CCB-92C2-62C1A17480E8}">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F24</xm:sqref>
        </x14:conditionalFormatting>
        <x14:conditionalFormatting xmlns:xm="http://schemas.microsoft.com/office/excel/2006/main">
          <x14:cfRule type="iconSet" priority="32" id="{5DD736F9-D8D5-4B4F-8E0C-E7FF1F132241}">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F25</xm:sqref>
        </x14:conditionalFormatting>
        <x14:conditionalFormatting xmlns:xm="http://schemas.microsoft.com/office/excel/2006/main">
          <x14:cfRule type="iconSet" priority="29" id="{AD24ACFD-6209-47DD-80F7-869330937C7D}">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F26</xm:sqref>
        </x14:conditionalFormatting>
        <x14:conditionalFormatting xmlns:xm="http://schemas.microsoft.com/office/excel/2006/main">
          <x14:cfRule type="iconSet" priority="26" id="{23AD9ABF-DD68-4170-A17A-0C898A6EAE33}">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F27</xm:sqref>
        </x14:conditionalFormatting>
        <x14:conditionalFormatting xmlns:xm="http://schemas.microsoft.com/office/excel/2006/main">
          <x14:cfRule type="iconSet" priority="23" id="{803AC17F-7C88-4EBB-B20A-42706E30CF8B}">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F28</xm:sqref>
        </x14:conditionalFormatting>
        <x14:conditionalFormatting xmlns:xm="http://schemas.microsoft.com/office/excel/2006/main">
          <x14:cfRule type="iconSet" priority="20" id="{6684D7A4-E03E-460A-AF42-2DB245968DD4}">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F30</xm:sqref>
        </x14:conditionalFormatting>
        <x14:conditionalFormatting xmlns:xm="http://schemas.microsoft.com/office/excel/2006/main">
          <x14:cfRule type="iconSet" priority="17" id="{5A455B2D-2836-4684-BD22-93CB451C00AF}">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F31</xm:sqref>
        </x14:conditionalFormatting>
        <x14:conditionalFormatting xmlns:xm="http://schemas.microsoft.com/office/excel/2006/main">
          <x14:cfRule type="iconSet" priority="14" id="{09226E71-B5C6-4241-A51B-84AA922BC697}">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F32:F33</xm:sqref>
        </x14:conditionalFormatting>
        <x14:conditionalFormatting xmlns:xm="http://schemas.microsoft.com/office/excel/2006/main">
          <x14:cfRule type="iconSet" priority="11" id="{DE675F80-B738-4FDB-968D-4AAC5B4D2D8C}">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F16</xm:sqref>
        </x14:conditionalFormatting>
        <x14:conditionalFormatting xmlns:xm="http://schemas.microsoft.com/office/excel/2006/main">
          <x14:cfRule type="iconSet" priority="8" id="{3835210E-21D6-46CF-8FBC-2CEC310249A1}">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F34</xm:sqref>
        </x14:conditionalFormatting>
        <x14:conditionalFormatting xmlns:xm="http://schemas.microsoft.com/office/excel/2006/main">
          <x14:cfRule type="iconSet" priority="7" id="{4DD2E93A-B605-4BAE-B593-C8742DE21834}">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F35</xm:sqref>
        </x14:conditionalFormatting>
        <x14:conditionalFormatting xmlns:xm="http://schemas.microsoft.com/office/excel/2006/main">
          <x14:cfRule type="iconSet" priority="4" id="{1DD134BE-3D61-4487-96F0-7FD917454D83}">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F36</xm:sqref>
        </x14:conditionalFormatting>
        <x14:conditionalFormatting xmlns:xm="http://schemas.microsoft.com/office/excel/2006/main">
          <x14:cfRule type="iconSet" priority="3" id="{7546E9D5-4890-48D6-93BF-58980B6C7D20}">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F7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C12"/>
  <sheetViews>
    <sheetView showGridLines="0" workbookViewId="0">
      <selection activeCell="C3" sqref="C3"/>
    </sheetView>
  </sheetViews>
  <sheetFormatPr defaultColWidth="9.140625" defaultRowHeight="12.75" x14ac:dyDescent="0.25"/>
  <cols>
    <col min="1" max="1" width="9.140625" style="20"/>
    <col min="2" max="2" width="9.140625" style="32"/>
    <col min="3" max="3" width="150.7109375" style="20" customWidth="1"/>
    <col min="4" max="16384" width="9.140625" style="20"/>
  </cols>
  <sheetData>
    <row r="1" spans="2:3" ht="13.5" thickBot="1" x14ac:dyDescent="0.3"/>
    <row r="2" spans="2:3" ht="39.950000000000003" customHeight="1" thickBot="1" x14ac:dyDescent="0.3">
      <c r="B2" s="657" t="s">
        <v>793</v>
      </c>
      <c r="C2" s="658"/>
    </row>
    <row r="3" spans="2:3" ht="48" customHeight="1" thickBot="1" x14ac:dyDescent="0.3">
      <c r="B3" s="557">
        <v>1</v>
      </c>
      <c r="C3" s="558" t="s">
        <v>855</v>
      </c>
    </row>
    <row r="4" spans="2:3" ht="56.1" customHeight="1" thickBot="1" x14ac:dyDescent="0.3">
      <c r="B4" s="554">
        <v>2</v>
      </c>
      <c r="C4" s="559" t="s">
        <v>854</v>
      </c>
    </row>
    <row r="5" spans="2:3" ht="168" customHeight="1" thickBot="1" x14ac:dyDescent="0.3">
      <c r="B5" s="554">
        <v>3</v>
      </c>
      <c r="C5" s="559" t="s">
        <v>846</v>
      </c>
    </row>
    <row r="6" spans="2:3" ht="48" customHeight="1" thickBot="1" x14ac:dyDescent="0.3">
      <c r="B6" s="554">
        <v>4</v>
      </c>
      <c r="C6" s="559" t="s">
        <v>807</v>
      </c>
    </row>
    <row r="7" spans="2:3" ht="48" customHeight="1" thickBot="1" x14ac:dyDescent="0.3">
      <c r="B7" s="555">
        <v>5</v>
      </c>
      <c r="C7" s="560" t="s">
        <v>794</v>
      </c>
    </row>
    <row r="8" spans="2:3" ht="12" customHeight="1" x14ac:dyDescent="0.25">
      <c r="B8" s="36"/>
      <c r="C8" s="556"/>
    </row>
    <row r="9" spans="2:3" ht="12" customHeight="1" x14ac:dyDescent="0.25">
      <c r="B9" s="36"/>
      <c r="C9" s="556"/>
    </row>
    <row r="10" spans="2:3" ht="12" customHeight="1" thickBot="1" x14ac:dyDescent="0.3">
      <c r="B10" s="36"/>
      <c r="C10" s="556"/>
    </row>
    <row r="11" spans="2:3" ht="60" customHeight="1" thickBot="1" x14ac:dyDescent="0.3">
      <c r="B11" s="659" t="s">
        <v>808</v>
      </c>
      <c r="C11" s="660"/>
    </row>
    <row r="12" spans="2:3" ht="12" customHeight="1" x14ac:dyDescent="0.25"/>
  </sheetData>
  <sheetProtection algorithmName="SHA-512" hashValue="mhXRzvThkF+w4QRBjP8hHQ1hAvkPGygVKE1bbUVfll83zXMKrCBE9yYbao2NscMgnSmKi+G/mcvlMsF8sCXDTw==" saltValue="FnM7/+37o8cGwZkc4al/bg==" spinCount="100000" sheet="1" objects="1" scenarios="1" selectLockedCells="1" selectUnlockedCells="1"/>
  <mergeCells count="2">
    <mergeCell ref="B2:C2"/>
    <mergeCell ref="B11:C11"/>
  </mergeCell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Z1545"/>
  <sheetViews>
    <sheetView showGridLines="0" showRowColHeaders="0" zoomScaleNormal="100" workbookViewId="0">
      <pane ySplit="6" topLeftCell="A7" activePane="bottomLeft" state="frozen"/>
      <selection pane="bottomLeft" activeCell="C10" sqref="C10"/>
    </sheetView>
  </sheetViews>
  <sheetFormatPr defaultColWidth="9.140625" defaultRowHeight="12.75" x14ac:dyDescent="0.2"/>
  <cols>
    <col min="1" max="1" width="9.140625" style="19"/>
    <col min="2" max="2" width="70.7109375" style="19" customWidth="1"/>
    <col min="3" max="3" width="50.7109375" style="22" customWidth="1"/>
    <col min="4" max="4" width="50.7109375" style="18" customWidth="1"/>
    <col min="5" max="5" width="50.7109375" style="19" customWidth="1"/>
    <col min="6" max="6" width="8.7109375" style="19" customWidth="1"/>
    <col min="7" max="10" width="9.140625" style="19" customWidth="1"/>
    <col min="11" max="11" width="9.140625" style="19" hidden="1" customWidth="1"/>
    <col min="12" max="12" width="12.42578125" style="19" hidden="1" customWidth="1"/>
    <col min="13" max="13" width="9.140625" style="32" hidden="1" customWidth="1"/>
    <col min="14" max="14" width="11.140625" style="19" hidden="1" customWidth="1"/>
    <col min="15" max="15" width="12" style="19" hidden="1" customWidth="1"/>
    <col min="16" max="16" width="9.140625" style="87" hidden="1" customWidth="1"/>
    <col min="17" max="26" width="9.140625" style="19" hidden="1" customWidth="1"/>
    <col min="27" max="27" width="9.140625" style="19" customWidth="1"/>
    <col min="28" max="16384" width="9.140625" style="19"/>
  </cols>
  <sheetData>
    <row r="1" spans="1:16" ht="12.75" customHeight="1" x14ac:dyDescent="0.2">
      <c r="A1" s="27"/>
      <c r="B1" s="30"/>
      <c r="C1" s="31"/>
    </row>
    <row r="2" spans="1:16" ht="12.75" customHeight="1" x14ac:dyDescent="0.2">
      <c r="A2" s="27"/>
      <c r="B2" s="27"/>
      <c r="C2" s="28"/>
    </row>
    <row r="3" spans="1:16" ht="12.75" customHeight="1" x14ac:dyDescent="0.2">
      <c r="A3" s="27"/>
      <c r="B3" s="27"/>
      <c r="C3" s="28"/>
    </row>
    <row r="4" spans="1:16" ht="12.75" customHeight="1" x14ac:dyDescent="0.2">
      <c r="A4" s="27"/>
      <c r="B4" s="27"/>
      <c r="C4" s="28"/>
    </row>
    <row r="5" spans="1:16" ht="12.75" customHeight="1" x14ac:dyDescent="0.2">
      <c r="A5" s="27"/>
      <c r="B5" s="27"/>
      <c r="C5" s="28"/>
    </row>
    <row r="6" spans="1:16" ht="15" customHeight="1" x14ac:dyDescent="0.2">
      <c r="A6" s="27"/>
      <c r="B6" s="27"/>
      <c r="C6" s="28"/>
    </row>
    <row r="7" spans="1:16" ht="15" customHeight="1" thickBot="1" x14ac:dyDescent="0.25">
      <c r="A7" s="27"/>
      <c r="B7" s="27"/>
      <c r="C7" s="28"/>
    </row>
    <row r="8" spans="1:16" ht="39.950000000000003" customHeight="1" thickBot="1" x14ac:dyDescent="0.25">
      <c r="A8" s="27"/>
      <c r="B8" s="669" t="s">
        <v>735</v>
      </c>
      <c r="C8" s="670"/>
      <c r="E8" s="60"/>
    </row>
    <row r="9" spans="1:16" s="20" customFormat="1" ht="24" customHeight="1" x14ac:dyDescent="0.2">
      <c r="A9" s="41"/>
      <c r="B9" s="472" t="s">
        <v>613</v>
      </c>
      <c r="C9" s="137"/>
      <c r="D9" s="94" t="str">
        <f>IF(M9=1,"*","")</f>
        <v>*</v>
      </c>
      <c r="E9" s="106"/>
      <c r="G9" s="19"/>
      <c r="M9" s="87">
        <f>IF(ISNUMBER(C9)=TRUE,0,1)</f>
        <v>1</v>
      </c>
    </row>
    <row r="10" spans="1:16" s="20" customFormat="1" ht="24" customHeight="1" thickBot="1" x14ac:dyDescent="0.25">
      <c r="A10" s="41"/>
      <c r="B10" s="473" t="s">
        <v>616</v>
      </c>
      <c r="C10" s="459"/>
      <c r="D10" s="94" t="str">
        <f>IF(M10=1,"*","")</f>
        <v>*</v>
      </c>
      <c r="G10" s="19"/>
      <c r="M10" s="87">
        <f>IF(C10="",1,0)</f>
        <v>1</v>
      </c>
    </row>
    <row r="11" spans="1:16" ht="15.95" customHeight="1" thickBot="1" x14ac:dyDescent="0.25">
      <c r="A11" s="27"/>
      <c r="B11" s="457"/>
      <c r="C11" s="458"/>
      <c r="D11" s="95"/>
      <c r="L11" s="318" t="s">
        <v>667</v>
      </c>
      <c r="M11" s="319" t="str">
        <f>IF(SUM(M9:M10)=0,"Valid","Invalid")</f>
        <v>Invalid</v>
      </c>
      <c r="P11" s="19"/>
    </row>
    <row r="12" spans="1:16" s="75" customFormat="1" ht="39.950000000000003" customHeight="1" x14ac:dyDescent="0.2">
      <c r="A12" s="92"/>
      <c r="B12" s="671" t="s">
        <v>599</v>
      </c>
      <c r="C12" s="672"/>
      <c r="D12" s="18"/>
      <c r="G12" s="19"/>
      <c r="M12" s="87"/>
    </row>
    <row r="13" spans="1:16" ht="32.1" customHeight="1" thickBot="1" x14ac:dyDescent="0.25">
      <c r="A13" s="27"/>
      <c r="B13" s="663" t="s">
        <v>824</v>
      </c>
      <c r="C13" s="664"/>
    </row>
    <row r="14" spans="1:16" ht="24" customHeight="1" x14ac:dyDescent="0.2">
      <c r="A14" s="27"/>
      <c r="B14" s="116" t="s">
        <v>424</v>
      </c>
      <c r="C14" s="133"/>
      <c r="D14" s="95"/>
    </row>
    <row r="15" spans="1:16" ht="24" customHeight="1" x14ac:dyDescent="0.2">
      <c r="A15" s="27"/>
      <c r="B15" s="116" t="s">
        <v>425</v>
      </c>
      <c r="C15" s="133"/>
      <c r="D15" s="94" t="str">
        <f>IF(M15=1,"*","")</f>
        <v>*</v>
      </c>
      <c r="M15" s="87">
        <f>IF(C15="",1,0)</f>
        <v>1</v>
      </c>
      <c r="P15" s="19"/>
    </row>
    <row r="16" spans="1:16" ht="24" customHeight="1" x14ac:dyDescent="0.2">
      <c r="A16" s="27"/>
      <c r="B16" s="116" t="s">
        <v>426</v>
      </c>
      <c r="C16" s="133"/>
      <c r="D16" s="94" t="str">
        <f>IF(M16=1,"*","")</f>
        <v>*</v>
      </c>
      <c r="M16" s="87">
        <f>IF(C16="",1,0)</f>
        <v>1</v>
      </c>
      <c r="P16" s="19"/>
    </row>
    <row r="17" spans="1:16" ht="24" customHeight="1" x14ac:dyDescent="0.2">
      <c r="A17" s="27"/>
      <c r="B17" s="116" t="s">
        <v>345</v>
      </c>
      <c r="C17" s="133"/>
      <c r="D17" s="94" t="str">
        <f>IF(M17=1,"*","")</f>
        <v>*</v>
      </c>
      <c r="M17" s="87">
        <f>IF(C17="",1,0)</f>
        <v>1</v>
      </c>
      <c r="P17" s="19"/>
    </row>
    <row r="18" spans="1:16" ht="24" customHeight="1" x14ac:dyDescent="0.2">
      <c r="A18" s="27"/>
      <c r="B18" s="116" t="s">
        <v>427</v>
      </c>
      <c r="C18" s="133"/>
      <c r="D18" s="94" t="str">
        <f>IF(M18=1,"*","")</f>
        <v>*</v>
      </c>
      <c r="M18" s="87">
        <f>IF(C18="",1,0)</f>
        <v>1</v>
      </c>
      <c r="P18" s="19"/>
    </row>
    <row r="19" spans="1:16" ht="24" customHeight="1" x14ac:dyDescent="0.2">
      <c r="A19" s="27"/>
      <c r="B19" s="116" t="s">
        <v>428</v>
      </c>
      <c r="C19" s="343"/>
      <c r="D19" s="94" t="str">
        <f>IF(M19=1,"*","")</f>
        <v>*</v>
      </c>
      <c r="E19" s="129"/>
      <c r="M19" s="87">
        <f>IF(ISNUMBER(C19)=TRUE,0,1)</f>
        <v>1</v>
      </c>
      <c r="P19" s="19"/>
    </row>
    <row r="20" spans="1:16" ht="24" customHeight="1" thickBot="1" x14ac:dyDescent="0.25">
      <c r="A20" s="27"/>
      <c r="B20" s="476" t="s">
        <v>429</v>
      </c>
      <c r="C20" s="477"/>
      <c r="D20" s="95"/>
      <c r="E20" s="129"/>
      <c r="M20" s="87"/>
      <c r="P20" s="19"/>
    </row>
    <row r="21" spans="1:16" ht="15.95" customHeight="1" thickBot="1" x14ac:dyDescent="0.25">
      <c r="A21" s="27"/>
      <c r="B21" s="478"/>
      <c r="C21" s="538"/>
      <c r="D21" s="95"/>
      <c r="E21" s="129"/>
    </row>
    <row r="22" spans="1:16" ht="39.950000000000003" customHeight="1" thickBot="1" x14ac:dyDescent="0.25">
      <c r="A22" s="27"/>
      <c r="B22" s="665" t="s">
        <v>593</v>
      </c>
      <c r="C22" s="666"/>
      <c r="D22" s="95"/>
    </row>
    <row r="23" spans="1:16" ht="39.950000000000003" customHeight="1" x14ac:dyDescent="0.2">
      <c r="A23" s="27"/>
      <c r="B23" s="131" t="s">
        <v>708</v>
      </c>
      <c r="C23" s="258" t="str">
        <f>IF((N23&amp;" "&amp;O23)="TRUE TRUE","Please select only one option","")</f>
        <v/>
      </c>
      <c r="D23" s="94" t="str">
        <f>IF(M23=1,"*","")</f>
        <v>*</v>
      </c>
      <c r="L23" s="78"/>
      <c r="M23" s="497">
        <f>IF((N23&amp;" "&amp;O23)="TRUE TRUE",1,IF((N23&amp;" "&amp;O23)="TRUE FALSE",0,IF((N23&amp;" "&amp;O23)="FALSE TRUE",0,1)))</f>
        <v>1</v>
      </c>
      <c r="N23" s="78" t="b">
        <v>0</v>
      </c>
      <c r="O23" s="78" t="b">
        <v>0</v>
      </c>
      <c r="P23" s="87" t="str">
        <f>IF((N23&amp;" "&amp;O23)="True False","Yes",IF((N23&amp;" "&amp;O23)="FALSE TRUE","No",""))</f>
        <v/>
      </c>
    </row>
    <row r="24" spans="1:16" s="20" customFormat="1" ht="24" customHeight="1" x14ac:dyDescent="0.2">
      <c r="A24" s="41"/>
      <c r="B24" s="116" t="s">
        <v>424</v>
      </c>
      <c r="C24" s="133"/>
      <c r="D24" s="126"/>
      <c r="G24" s="19"/>
      <c r="M24" s="87"/>
    </row>
    <row r="25" spans="1:16" s="20" customFormat="1" ht="24" customHeight="1" x14ac:dyDescent="0.2">
      <c r="A25" s="41"/>
      <c r="B25" s="116" t="s">
        <v>425</v>
      </c>
      <c r="C25" s="133"/>
      <c r="D25" s="94" t="str">
        <f>IF(M25=1,"*","")</f>
        <v/>
      </c>
      <c r="G25" s="19"/>
      <c r="M25" s="87">
        <f>IF(P23="Yes",IF(C25="",1,0),0)</f>
        <v>0</v>
      </c>
    </row>
    <row r="26" spans="1:16" s="20" customFormat="1" ht="24" customHeight="1" x14ac:dyDescent="0.2">
      <c r="A26" s="41"/>
      <c r="B26" s="116" t="s">
        <v>426</v>
      </c>
      <c r="C26" s="133"/>
      <c r="D26" s="94" t="str">
        <f>IF(M26=1,"*","")</f>
        <v/>
      </c>
      <c r="G26" s="19"/>
      <c r="M26" s="87">
        <f>IF(P23="Yes",IF(C26="",1,0),0)</f>
        <v>0</v>
      </c>
    </row>
    <row r="27" spans="1:16" s="20" customFormat="1" ht="24" customHeight="1" x14ac:dyDescent="0.2">
      <c r="A27" s="41"/>
      <c r="B27" s="116" t="s">
        <v>345</v>
      </c>
      <c r="C27" s="133"/>
      <c r="D27" s="94" t="str">
        <f>IF(M27=1,"*","")</f>
        <v/>
      </c>
      <c r="G27" s="19"/>
      <c r="M27" s="87">
        <f>IF(P23="Yes",IF(C27="",1,0),0)</f>
        <v>0</v>
      </c>
    </row>
    <row r="28" spans="1:16" s="20" customFormat="1" ht="24" customHeight="1" x14ac:dyDescent="0.2">
      <c r="A28" s="41"/>
      <c r="B28" s="116" t="s">
        <v>427</v>
      </c>
      <c r="C28" s="133"/>
      <c r="D28" s="94" t="str">
        <f>IF(M28=1,"*","")</f>
        <v/>
      </c>
      <c r="G28" s="19"/>
      <c r="M28" s="87">
        <f>IF(P23="Yes",IF(C28="",1,0),0)</f>
        <v>0</v>
      </c>
    </row>
    <row r="29" spans="1:16" s="20" customFormat="1" ht="24" customHeight="1" x14ac:dyDescent="0.2">
      <c r="A29" s="41"/>
      <c r="B29" s="116" t="s">
        <v>428</v>
      </c>
      <c r="C29" s="343"/>
      <c r="D29" s="94" t="str">
        <f>IF(M29=1,"*","")</f>
        <v/>
      </c>
      <c r="E29" s="129"/>
      <c r="G29" s="19"/>
      <c r="M29" s="87">
        <f>IF(P23="Yes",IF(C29="",1,0),0)</f>
        <v>0</v>
      </c>
    </row>
    <row r="30" spans="1:16" s="20" customFormat="1" ht="24" customHeight="1" thickBot="1" x14ac:dyDescent="0.25">
      <c r="A30" s="41"/>
      <c r="B30" s="476" t="s">
        <v>707</v>
      </c>
      <c r="C30" s="477"/>
      <c r="D30" s="126"/>
      <c r="E30" s="129"/>
      <c r="G30" s="19"/>
      <c r="M30" s="32"/>
      <c r="P30" s="87"/>
    </row>
    <row r="31" spans="1:16" s="20" customFormat="1" ht="15.95" customHeight="1" thickBot="1" x14ac:dyDescent="0.25">
      <c r="A31" s="41"/>
      <c r="B31" s="478"/>
      <c r="C31" s="539"/>
      <c r="D31" s="126"/>
      <c r="E31" s="129"/>
      <c r="G31" s="19"/>
      <c r="M31" s="32"/>
      <c r="P31" s="87"/>
    </row>
    <row r="32" spans="1:16" ht="39.950000000000003" customHeight="1" thickBot="1" x14ac:dyDescent="0.25">
      <c r="A32" s="27"/>
      <c r="B32" s="667" t="s">
        <v>614</v>
      </c>
      <c r="C32" s="668"/>
      <c r="D32" s="95"/>
    </row>
    <row r="33" spans="1:16" s="20" customFormat="1" ht="39.950000000000003" customHeight="1" x14ac:dyDescent="0.2">
      <c r="A33" s="41"/>
      <c r="B33" s="154" t="s">
        <v>686</v>
      </c>
      <c r="C33" s="449" t="str">
        <f>IF((N33&amp;" "&amp;O33)="TRUE TRUE","Please select only one option","")</f>
        <v/>
      </c>
      <c r="D33" s="94" t="str">
        <f>IF(M33=1,"*","")</f>
        <v>*</v>
      </c>
      <c r="G33" s="19"/>
      <c r="L33" s="78"/>
      <c r="M33" s="497">
        <f>IF((N33&amp;" "&amp;O33)="TRUE TRUE",1,IF((N33&amp;" "&amp;O33)="TRUE FALSE",0,IF((N33&amp;" "&amp;O33)="FALSE TRUE",0,1)))</f>
        <v>1</v>
      </c>
      <c r="N33" s="78" t="b">
        <v>0</v>
      </c>
      <c r="O33" s="78" t="b">
        <v>0</v>
      </c>
      <c r="P33" s="87" t="str">
        <f>IF((N33&amp;" "&amp;O33)="True False","Yes",IF((N33&amp;" "&amp;O33)="FALSE True","No",""))</f>
        <v/>
      </c>
    </row>
    <row r="34" spans="1:16" s="20" customFormat="1" ht="24" customHeight="1" x14ac:dyDescent="0.2">
      <c r="A34" s="41"/>
      <c r="B34" s="155" t="s">
        <v>424</v>
      </c>
      <c r="C34" s="157"/>
      <c r="D34" s="96"/>
      <c r="G34" s="19"/>
      <c r="M34" s="87"/>
    </row>
    <row r="35" spans="1:16" s="20" customFormat="1" ht="24" customHeight="1" x14ac:dyDescent="0.2">
      <c r="A35" s="41"/>
      <c r="B35" s="155" t="s">
        <v>425</v>
      </c>
      <c r="C35" s="157"/>
      <c r="D35" s="94" t="str">
        <f>IF(M35=1,"*","")</f>
        <v/>
      </c>
      <c r="G35" s="19"/>
      <c r="M35" s="87">
        <f>IF(P33="Yes",IF(C35="",1,0),0)</f>
        <v>0</v>
      </c>
    </row>
    <row r="36" spans="1:16" s="20" customFormat="1" ht="24" customHeight="1" x14ac:dyDescent="0.2">
      <c r="A36" s="41"/>
      <c r="B36" s="155" t="s">
        <v>426</v>
      </c>
      <c r="C36" s="157"/>
      <c r="D36" s="94" t="str">
        <f>IF(M36=1,"*","")</f>
        <v/>
      </c>
      <c r="G36" s="19"/>
      <c r="M36" s="87">
        <f>IF(P33="Yes",IF(C36="",1,0),0)</f>
        <v>0</v>
      </c>
    </row>
    <row r="37" spans="1:16" s="20" customFormat="1" ht="24" customHeight="1" x14ac:dyDescent="0.2">
      <c r="A37" s="41"/>
      <c r="B37" s="155" t="s">
        <v>345</v>
      </c>
      <c r="C37" s="157"/>
      <c r="D37" s="94" t="str">
        <f>IF(M37=1,"*","")</f>
        <v/>
      </c>
      <c r="G37" s="19"/>
      <c r="M37" s="87">
        <f>IF(P33="Yes",IF(C37="",1,0),0)</f>
        <v>0</v>
      </c>
    </row>
    <row r="38" spans="1:16" s="20" customFormat="1" ht="24" customHeight="1" x14ac:dyDescent="0.2">
      <c r="A38" s="41"/>
      <c r="B38" s="155" t="s">
        <v>427</v>
      </c>
      <c r="C38" s="157"/>
      <c r="D38" s="94" t="str">
        <f>IF(M38=1,"*","")</f>
        <v/>
      </c>
      <c r="G38" s="19"/>
      <c r="M38" s="87">
        <f>IF(P33="Yes",IF(C38="",1,0),0)</f>
        <v>0</v>
      </c>
    </row>
    <row r="39" spans="1:16" s="20" customFormat="1" ht="24" customHeight="1" x14ac:dyDescent="0.2">
      <c r="A39" s="41"/>
      <c r="B39" s="155" t="s">
        <v>428</v>
      </c>
      <c r="C39" s="344"/>
      <c r="D39" s="94" t="str">
        <f>IF(M39=1,"*","")</f>
        <v/>
      </c>
      <c r="G39" s="19"/>
      <c r="M39" s="87">
        <f>IF(P33="Yes",IF(ISNUMBER(C39)=FALSE,1,0),0)</f>
        <v>0</v>
      </c>
    </row>
    <row r="40" spans="1:16" s="20" customFormat="1" ht="24" customHeight="1" thickBot="1" x14ac:dyDescent="0.25">
      <c r="A40" s="41"/>
      <c r="B40" s="479" t="s">
        <v>429</v>
      </c>
      <c r="C40" s="480"/>
      <c r="D40" s="94"/>
      <c r="G40" s="19"/>
      <c r="M40" s="87"/>
    </row>
    <row r="41" spans="1:16" ht="19.5" customHeight="1" thickBot="1" x14ac:dyDescent="0.25">
      <c r="A41" s="27"/>
      <c r="B41" s="43"/>
      <c r="C41" s="28"/>
      <c r="E41" s="20"/>
      <c r="M41" s="87"/>
      <c r="P41" s="19"/>
    </row>
    <row r="42" spans="1:16" s="20" customFormat="1" ht="56.1" customHeight="1" x14ac:dyDescent="0.2">
      <c r="A42" s="41"/>
      <c r="B42" s="156" t="s">
        <v>449</v>
      </c>
      <c r="C42" s="421" t="s">
        <v>711</v>
      </c>
      <c r="D42" s="425"/>
      <c r="E42" s="417"/>
      <c r="G42" s="19"/>
      <c r="L42" s="32"/>
      <c r="M42" s="87"/>
    </row>
    <row r="43" spans="1:16" s="20" customFormat="1" ht="72" customHeight="1" x14ac:dyDescent="0.2">
      <c r="A43" s="41"/>
      <c r="B43" s="348" t="s">
        <v>736</v>
      </c>
      <c r="C43" s="357"/>
      <c r="D43" s="94" t="str">
        <f>IF(M43=1,"*","")</f>
        <v/>
      </c>
      <c r="E43" s="94"/>
      <c r="G43" s="19"/>
      <c r="L43" s="32"/>
      <c r="M43" s="87">
        <f>IF(P33="Yes",IF(ISTEXT(C43)=FALSE,1,0),0)</f>
        <v>0</v>
      </c>
    </row>
    <row r="44" spans="1:16" s="20" customFormat="1" ht="72" customHeight="1" thickBot="1" x14ac:dyDescent="0.25">
      <c r="A44" s="41"/>
      <c r="B44" s="351" t="s">
        <v>795</v>
      </c>
      <c r="C44" s="340"/>
      <c r="D44" s="94" t="str">
        <f>IF(M44=1,"*","")</f>
        <v/>
      </c>
      <c r="E44" s="94"/>
      <c r="G44" s="19"/>
      <c r="L44" s="32"/>
      <c r="M44" s="87">
        <f>IF(P33="No",IF(ISTEXT(C44)=FALSE,1,0),0)</f>
        <v>0</v>
      </c>
    </row>
    <row r="45" spans="1:16" s="20" customFormat="1" ht="15.95" customHeight="1" x14ac:dyDescent="0.2">
      <c r="A45" s="41"/>
      <c r="B45" s="109"/>
      <c r="C45" s="108"/>
      <c r="D45" s="425"/>
      <c r="E45" s="94"/>
      <c r="G45" s="19"/>
      <c r="L45" s="32"/>
      <c r="M45" s="87"/>
    </row>
    <row r="46" spans="1:16" s="20" customFormat="1" ht="15.95" customHeight="1" x14ac:dyDescent="0.2">
      <c r="A46" s="41"/>
      <c r="B46" s="109"/>
      <c r="C46" s="108"/>
      <c r="D46" s="425"/>
      <c r="E46" s="94"/>
      <c r="G46" s="19"/>
      <c r="L46" s="32"/>
      <c r="M46" s="87"/>
    </row>
    <row r="47" spans="1:16" s="20" customFormat="1" ht="15.95" customHeight="1" thickBot="1" x14ac:dyDescent="0.25">
      <c r="A47" s="41"/>
      <c r="B47" s="330"/>
      <c r="C47" s="314"/>
      <c r="D47" s="109"/>
      <c r="E47" s="94"/>
      <c r="G47" s="19"/>
      <c r="L47" s="32"/>
      <c r="M47" s="87"/>
    </row>
    <row r="48" spans="1:16" ht="39.950000000000003" customHeight="1" thickBot="1" x14ac:dyDescent="0.25">
      <c r="A48" s="27"/>
      <c r="B48" s="661" t="s">
        <v>737</v>
      </c>
      <c r="C48" s="662"/>
      <c r="L48" s="129" t="s">
        <v>667</v>
      </c>
      <c r="M48" s="319" t="str">
        <f>IF(SUM(M15:M47)=0,"Valid","Invalid")</f>
        <v>Invalid</v>
      </c>
      <c r="P48" s="19"/>
    </row>
    <row r="49" spans="1:18" s="20" customFormat="1" ht="39.950000000000003" customHeight="1" x14ac:dyDescent="0.2">
      <c r="A49" s="41"/>
      <c r="B49" s="256" t="s">
        <v>814</v>
      </c>
      <c r="C49" s="641"/>
      <c r="D49" s="96"/>
      <c r="G49" s="19"/>
      <c r="M49" s="87"/>
    </row>
    <row r="50" spans="1:18" s="20" customFormat="1" ht="15.95" customHeight="1" x14ac:dyDescent="0.2">
      <c r="A50" s="41"/>
      <c r="B50" s="138"/>
      <c r="C50" s="139"/>
      <c r="D50" s="96"/>
      <c r="G50" s="19"/>
      <c r="M50" s="87"/>
    </row>
    <row r="51" spans="1:18" s="20" customFormat="1" ht="24" customHeight="1" x14ac:dyDescent="0.2">
      <c r="A51" s="41"/>
      <c r="B51" s="136" t="s">
        <v>41</v>
      </c>
      <c r="C51" s="137"/>
      <c r="D51" s="94" t="str">
        <f>IF(M51=1,"*","")</f>
        <v>*</v>
      </c>
      <c r="G51" s="19"/>
      <c r="M51" s="87">
        <f>IF(C51="",1,0)</f>
        <v>1</v>
      </c>
    </row>
    <row r="52" spans="1:18" s="20" customFormat="1" ht="24" customHeight="1" x14ac:dyDescent="0.2">
      <c r="A52" s="41"/>
      <c r="B52" s="136" t="s">
        <v>42</v>
      </c>
      <c r="C52" s="137"/>
      <c r="D52" s="94" t="str">
        <f>IF(M52=1,"*","")</f>
        <v>*</v>
      </c>
      <c r="G52" s="19"/>
      <c r="M52" s="87">
        <f>IF(C52="",1,0)</f>
        <v>1</v>
      </c>
    </row>
    <row r="53" spans="1:18" s="20" customFormat="1" ht="24" customHeight="1" x14ac:dyDescent="0.2">
      <c r="A53" s="41"/>
      <c r="B53" s="136" t="s">
        <v>43</v>
      </c>
      <c r="C53" s="137"/>
      <c r="D53" s="94"/>
      <c r="G53" s="19"/>
      <c r="M53" s="87"/>
    </row>
    <row r="54" spans="1:18" s="20" customFormat="1" ht="24" customHeight="1" x14ac:dyDescent="0.2">
      <c r="A54" s="41"/>
      <c r="B54" s="136" t="s">
        <v>44</v>
      </c>
      <c r="C54" s="137"/>
      <c r="D54" s="94"/>
      <c r="G54" s="19"/>
      <c r="M54" s="87"/>
    </row>
    <row r="55" spans="1:18" s="20" customFormat="1" ht="24" customHeight="1" x14ac:dyDescent="0.2">
      <c r="A55" s="41"/>
      <c r="B55" s="136" t="s">
        <v>354</v>
      </c>
      <c r="C55" s="137"/>
      <c r="D55" s="94" t="str">
        <f>IF(M55=1,"*","")</f>
        <v>*</v>
      </c>
      <c r="G55" s="19"/>
      <c r="M55" s="5">
        <f>IF(C55="",1,IF(ISERROR(EXACT(VLOOKUP(C55,county,1,FALSE),C55)),1,0))</f>
        <v>1</v>
      </c>
    </row>
    <row r="56" spans="1:18" s="20" customFormat="1" ht="24" customHeight="1" thickBot="1" x14ac:dyDescent="0.25">
      <c r="A56" s="41"/>
      <c r="B56" s="492" t="s">
        <v>45</v>
      </c>
      <c r="C56" s="493"/>
      <c r="D56" s="94"/>
      <c r="G56" s="19"/>
      <c r="M56" s="87"/>
    </row>
    <row r="57" spans="1:18" s="20" customFormat="1" ht="15.95" customHeight="1" thickBot="1" x14ac:dyDescent="0.25">
      <c r="A57" s="41"/>
      <c r="B57" s="490"/>
      <c r="C57" s="491"/>
      <c r="D57" s="96"/>
      <c r="G57" s="19"/>
      <c r="M57" s="32"/>
      <c r="P57" s="87"/>
    </row>
    <row r="58" spans="1:18" s="20" customFormat="1" ht="39.950000000000003" customHeight="1" thickBot="1" x14ac:dyDescent="0.25">
      <c r="A58" s="41"/>
      <c r="B58" s="673" t="s">
        <v>809</v>
      </c>
      <c r="C58" s="674"/>
      <c r="D58" s="96"/>
      <c r="G58" s="19"/>
      <c r="M58" s="32"/>
      <c r="P58" s="87"/>
    </row>
    <row r="59" spans="1:18" s="20" customFormat="1" ht="32.1" customHeight="1" x14ac:dyDescent="0.2">
      <c r="A59" s="41"/>
      <c r="B59" s="122" t="s">
        <v>810</v>
      </c>
      <c r="C59" s="498" t="str">
        <f>IF((N59&amp;" "&amp;O59)="TRUE TRUE","Please select only one option","")</f>
        <v/>
      </c>
      <c r="D59" s="94" t="str">
        <f>IF(M59=1,"*","")</f>
        <v>*</v>
      </c>
      <c r="G59" s="19"/>
      <c r="M59" s="497">
        <f>IF((N59&amp;" "&amp;O59)="TRUE TRUE",1,IF((N59&amp;" "&amp;O59)="TRUE FALSE",0,IF((N59&amp;" "&amp;O59)="FALSE TRUE",0,1)))</f>
        <v>1</v>
      </c>
      <c r="N59" s="78" t="b">
        <v>0</v>
      </c>
      <c r="O59" s="78" t="b">
        <v>0</v>
      </c>
      <c r="P59" s="20">
        <f>IF((N59&amp;" "&amp;O59)="TRUE TRUE","Invalid Input",IF((N59&amp;" "&amp;O59)="TRUE FALSE","Yes",IF((N59&amp;" "&amp;O59)="FALSE TRUE","No",0)))</f>
        <v>0</v>
      </c>
      <c r="R59" s="87"/>
    </row>
    <row r="60" spans="1:18" s="20" customFormat="1" ht="15.95" customHeight="1" x14ac:dyDescent="0.2">
      <c r="A60" s="41"/>
      <c r="B60" s="124"/>
      <c r="C60" s="121"/>
      <c r="D60" s="96"/>
      <c r="G60" s="19"/>
      <c r="M60" s="87"/>
    </row>
    <row r="61" spans="1:18" s="20" customFormat="1" ht="24" customHeight="1" x14ac:dyDescent="0.2">
      <c r="A61" s="41"/>
      <c r="B61" s="119" t="s">
        <v>41</v>
      </c>
      <c r="C61" s="128"/>
      <c r="D61" s="94" t="str">
        <f>IF(M61=1,"*","")</f>
        <v/>
      </c>
      <c r="G61" s="19"/>
      <c r="M61" s="87">
        <f>IF($P$59="Yes",IF(C61="",1,0),0)</f>
        <v>0</v>
      </c>
    </row>
    <row r="62" spans="1:18" s="20" customFormat="1" ht="24" customHeight="1" x14ac:dyDescent="0.2">
      <c r="A62" s="41"/>
      <c r="B62" s="119" t="s">
        <v>42</v>
      </c>
      <c r="C62" s="127"/>
      <c r="D62" s="94" t="str">
        <f>IF(M62=1,"*","")</f>
        <v/>
      </c>
      <c r="G62" s="19"/>
      <c r="M62" s="87">
        <f>IF($P$59="Yes",IF(C62="",1,0),0)</f>
        <v>0</v>
      </c>
    </row>
    <row r="63" spans="1:18" s="20" customFormat="1" ht="24" customHeight="1" x14ac:dyDescent="0.2">
      <c r="A63" s="41"/>
      <c r="B63" s="123" t="s">
        <v>43</v>
      </c>
      <c r="C63" s="128"/>
      <c r="D63" s="96"/>
      <c r="G63" s="19"/>
      <c r="M63" s="87"/>
    </row>
    <row r="64" spans="1:18" s="20" customFormat="1" ht="24" customHeight="1" x14ac:dyDescent="0.2">
      <c r="A64" s="41"/>
      <c r="B64" s="120" t="s">
        <v>44</v>
      </c>
      <c r="C64" s="127"/>
      <c r="D64" s="96"/>
      <c r="G64" s="19"/>
      <c r="M64" s="87"/>
    </row>
    <row r="65" spans="1:18" s="20" customFormat="1" ht="24" customHeight="1" x14ac:dyDescent="0.2">
      <c r="A65" s="41"/>
      <c r="B65" s="120" t="s">
        <v>354</v>
      </c>
      <c r="C65" s="127"/>
      <c r="D65" s="94" t="str">
        <f>IF(M65=1,"*","")</f>
        <v/>
      </c>
      <c r="E65" s="94"/>
      <c r="G65" s="19"/>
      <c r="M65" s="5">
        <f>IF($P$59="Yes",IF(C65="",1,IF(ISERROR(EXACT(VLOOKUP(C65,county,1,FALSE),C65)),1,0)),0)</f>
        <v>0</v>
      </c>
    </row>
    <row r="66" spans="1:18" s="20" customFormat="1" ht="24" customHeight="1" x14ac:dyDescent="0.2">
      <c r="A66" s="41"/>
      <c r="B66" s="119" t="s">
        <v>45</v>
      </c>
      <c r="C66" s="127"/>
      <c r="D66" s="96"/>
      <c r="G66" s="19"/>
      <c r="M66" s="87"/>
    </row>
    <row r="67" spans="1:18" s="20" customFormat="1" ht="15.95" customHeight="1" x14ac:dyDescent="0.2">
      <c r="A67" s="41"/>
      <c r="B67" s="316"/>
      <c r="C67" s="121"/>
      <c r="D67" s="96"/>
      <c r="G67" s="19"/>
      <c r="M67" s="87"/>
    </row>
    <row r="68" spans="1:18" s="20" customFormat="1" ht="24" customHeight="1" x14ac:dyDescent="0.2">
      <c r="A68" s="41"/>
      <c r="B68" s="315" t="s">
        <v>811</v>
      </c>
      <c r="C68" s="317"/>
      <c r="D68" s="94" t="str">
        <f>IF(M68=1,"*","")</f>
        <v>*</v>
      </c>
      <c r="G68" s="19"/>
      <c r="M68" s="87">
        <f>IF(AND(ISNUMBER(MATCH("*@*.*",C68,0)),LEN(C68)&lt;=200),0,1)</f>
        <v>1</v>
      </c>
    </row>
    <row r="69" spans="1:18" s="20" customFormat="1" ht="24" customHeight="1" x14ac:dyDescent="0.2">
      <c r="A69" s="41"/>
      <c r="B69" s="118" t="s">
        <v>812</v>
      </c>
      <c r="C69" s="127"/>
      <c r="D69" s="96"/>
      <c r="G69" s="19"/>
      <c r="M69" s="87"/>
    </row>
    <row r="70" spans="1:18" s="20" customFormat="1" ht="24" customHeight="1" thickBot="1" x14ac:dyDescent="0.25">
      <c r="A70" s="41"/>
      <c r="B70" s="482" t="s">
        <v>813</v>
      </c>
      <c r="C70" s="483"/>
      <c r="D70" s="96"/>
      <c r="G70" s="19"/>
      <c r="M70" s="87"/>
    </row>
    <row r="71" spans="1:18" s="20" customFormat="1" ht="17.45" customHeight="1" thickBot="1" x14ac:dyDescent="0.25">
      <c r="A71" s="41"/>
      <c r="B71" s="159"/>
      <c r="C71" s="481"/>
      <c r="D71" s="96"/>
      <c r="G71" s="19"/>
      <c r="M71" s="87"/>
    </row>
    <row r="72" spans="1:18" ht="39.950000000000003" customHeight="1" thickBot="1" x14ac:dyDescent="0.25">
      <c r="A72" s="27"/>
      <c r="B72" s="669" t="s">
        <v>815</v>
      </c>
      <c r="C72" s="670"/>
      <c r="D72" s="110"/>
    </row>
    <row r="73" spans="1:18" ht="39.950000000000003" customHeight="1" x14ac:dyDescent="0.2">
      <c r="A73" s="27"/>
      <c r="B73" s="450" t="s">
        <v>816</v>
      </c>
      <c r="C73" s="135" t="str">
        <f>IF((N73&amp;" "&amp;O73)="TRUE TRUE","Please select only one option","")</f>
        <v/>
      </c>
      <c r="D73" s="94" t="str">
        <f>IF(M73=1,"*","")</f>
        <v>*</v>
      </c>
      <c r="M73" s="32">
        <f>IF((N73&amp;" "&amp;O73)="TRUE TRUE",1,IF((N73&amp;" "&amp;O73)="TRUE FALSE",0,IF((N73&amp;" "&amp;O73)="FALSE TRUE",0,1)))</f>
        <v>1</v>
      </c>
      <c r="N73" s="78" t="b">
        <v>0</v>
      </c>
      <c r="O73" s="78" t="b">
        <v>0</v>
      </c>
      <c r="P73" s="20">
        <f>IF((N73&amp;" "&amp;O73)="TRUE TRUE","Invalid Input",IF((N73&amp;" "&amp;O73)="TRUE FALSE","Yes",IF((N73&amp;" "&amp;O73)="FALSE TRUE","No",0)))</f>
        <v>0</v>
      </c>
      <c r="R73" s="87"/>
    </row>
    <row r="74" spans="1:18" x14ac:dyDescent="0.2">
      <c r="A74" s="27"/>
      <c r="B74" s="141"/>
      <c r="C74" s="331"/>
      <c r="D74" s="95"/>
      <c r="N74" s="20"/>
      <c r="O74" s="20"/>
      <c r="P74" s="20"/>
      <c r="R74" s="87"/>
    </row>
    <row r="75" spans="1:18" ht="39.950000000000003" customHeight="1" x14ac:dyDescent="0.2">
      <c r="A75" s="27"/>
      <c r="B75" s="134" t="s">
        <v>817</v>
      </c>
      <c r="C75" s="135" t="str">
        <f>IF((N75&amp;" "&amp;O75)="TRUE TRUE","Please select only one option","")</f>
        <v/>
      </c>
      <c r="D75" s="94" t="str">
        <f>IF(M75=1,"*","")</f>
        <v/>
      </c>
      <c r="E75" s="20"/>
      <c r="F75" s="20"/>
      <c r="H75" s="20"/>
      <c r="I75" s="20"/>
      <c r="J75" s="20"/>
      <c r="K75" s="20"/>
      <c r="L75" s="20"/>
      <c r="M75" s="32">
        <f>IF(P73="Yes",IF((N75&amp;" "&amp;O75)="TRUE TRUE",1,IF((N75&amp;" "&amp;O75)="TRUE FALSE",0,IF((N75&amp;" "&amp;O75)="FALSE TRUE",0,1))),0)</f>
        <v>0</v>
      </c>
      <c r="N75" s="78" t="b">
        <v>0</v>
      </c>
      <c r="O75" s="78" t="b">
        <v>0</v>
      </c>
      <c r="P75" s="20">
        <f>IF((N75&amp;" "&amp;O75)="TRUE TRUE","Invalid Input",IF((N75&amp;" "&amp;O75)="TRUE FALSE","Yes",IF((N75&amp;" "&amp;O75)="FALSE TRUE","No",0)))</f>
        <v>0</v>
      </c>
      <c r="Q75" s="20"/>
      <c r="R75" s="87"/>
    </row>
    <row r="76" spans="1:18" ht="32.1" customHeight="1" x14ac:dyDescent="0.2">
      <c r="A76" s="27"/>
      <c r="B76" s="494" t="s">
        <v>747</v>
      </c>
      <c r="C76" s="140"/>
      <c r="D76" s="95"/>
      <c r="M76" s="87"/>
      <c r="P76" s="19"/>
    </row>
    <row r="77" spans="1:18" s="20" customFormat="1" ht="24" customHeight="1" x14ac:dyDescent="0.2">
      <c r="A77" s="41"/>
      <c r="B77" s="134" t="s">
        <v>656</v>
      </c>
      <c r="C77" s="133"/>
      <c r="D77" s="94" t="str">
        <f>IF(M77=1,"*","")</f>
        <v/>
      </c>
      <c r="G77" s="19"/>
      <c r="M77" s="87">
        <f>IF(P75="Yes",IF(C77="",1,0),0)</f>
        <v>0</v>
      </c>
    </row>
    <row r="78" spans="1:18" s="20" customFormat="1" ht="24" customHeight="1" x14ac:dyDescent="0.2">
      <c r="A78" s="41"/>
      <c r="B78" s="136" t="s">
        <v>41</v>
      </c>
      <c r="C78" s="133"/>
      <c r="D78" s="94" t="str">
        <f>IF(M78=1,"*","")</f>
        <v/>
      </c>
      <c r="G78" s="19"/>
      <c r="M78" s="87">
        <f>IF(P75="Yes",IF(C78="",1,0),0)</f>
        <v>0</v>
      </c>
    </row>
    <row r="79" spans="1:18" s="20" customFormat="1" ht="24" customHeight="1" x14ac:dyDescent="0.2">
      <c r="A79" s="41"/>
      <c r="B79" s="136" t="s">
        <v>42</v>
      </c>
      <c r="C79" s="133"/>
      <c r="D79" s="94" t="str">
        <f>IF(M79=1,"*","")</f>
        <v/>
      </c>
      <c r="G79" s="19"/>
      <c r="M79" s="87">
        <f>IF(P75="Yes",IF(C79="",1,0),0)</f>
        <v>0</v>
      </c>
    </row>
    <row r="80" spans="1:18" s="20" customFormat="1" ht="24" customHeight="1" x14ac:dyDescent="0.2">
      <c r="A80" s="41"/>
      <c r="B80" s="136" t="s">
        <v>43</v>
      </c>
      <c r="C80" s="133"/>
      <c r="D80" s="96"/>
      <c r="G80" s="19"/>
      <c r="M80" s="87"/>
    </row>
    <row r="81" spans="1:18" s="20" customFormat="1" ht="24" customHeight="1" x14ac:dyDescent="0.2">
      <c r="A81" s="41"/>
      <c r="B81" s="136" t="s">
        <v>44</v>
      </c>
      <c r="C81" s="133"/>
      <c r="D81" s="96"/>
      <c r="G81" s="19"/>
      <c r="M81" s="87"/>
    </row>
    <row r="82" spans="1:18" s="20" customFormat="1" ht="24" customHeight="1" x14ac:dyDescent="0.2">
      <c r="A82" s="41"/>
      <c r="B82" s="387" t="s">
        <v>354</v>
      </c>
      <c r="C82" s="157"/>
      <c r="D82" s="94" t="str">
        <f>IF(M82=1,"*","")</f>
        <v/>
      </c>
      <c r="E82" s="94"/>
      <c r="G82" s="19"/>
      <c r="M82" s="87">
        <f>IF($P$75="Yes",IF(ISTEXT(C82)=TRUE,0,1),0)</f>
        <v>0</v>
      </c>
    </row>
    <row r="83" spans="1:18" s="20" customFormat="1" ht="24" customHeight="1" x14ac:dyDescent="0.2">
      <c r="A83" s="41"/>
      <c r="B83" s="387" t="s">
        <v>34</v>
      </c>
      <c r="C83" s="157"/>
      <c r="D83" s="94" t="str">
        <f>IF(M83=1,"*","")</f>
        <v/>
      </c>
      <c r="E83" s="94"/>
      <c r="G83" s="19"/>
      <c r="M83" s="87">
        <f>IF($P$75="Yes",IF(C83="",1,IF(ISERROR(EXACT(VLOOKUP(C83,country_all,1,FALSE),C83)),1,0)),0)</f>
        <v>0</v>
      </c>
    </row>
    <row r="84" spans="1:18" s="20" customFormat="1" ht="24" customHeight="1" x14ac:dyDescent="0.2">
      <c r="A84" s="41"/>
      <c r="B84" s="387" t="s">
        <v>687</v>
      </c>
      <c r="C84" s="157"/>
      <c r="D84" s="126"/>
      <c r="G84" s="19"/>
      <c r="M84" s="87"/>
    </row>
    <row r="85" spans="1:18" s="20" customFormat="1" ht="24" customHeight="1" thickBot="1" x14ac:dyDescent="0.25">
      <c r="A85" s="41"/>
      <c r="B85" s="484" t="s">
        <v>427</v>
      </c>
      <c r="C85" s="485"/>
      <c r="D85" s="94" t="str">
        <f>IF(M85=1,"*","")</f>
        <v/>
      </c>
      <c r="G85" s="19"/>
      <c r="M85" s="87">
        <f>IF(P75="Yes",IF(AND(ISNUMBER(MATCH("*@*.*",C85,0)),LEN(C85)&lt;=200),0,1),0)</f>
        <v>0</v>
      </c>
    </row>
    <row r="86" spans="1:18" ht="15.95" customHeight="1" thickBot="1" x14ac:dyDescent="0.25">
      <c r="A86" s="27"/>
      <c r="B86" s="486"/>
      <c r="C86" s="487"/>
      <c r="D86" s="95"/>
    </row>
    <row r="87" spans="1:18" ht="39.950000000000003" customHeight="1" thickBot="1" x14ac:dyDescent="0.25">
      <c r="A87" s="27"/>
      <c r="B87" s="675" t="s">
        <v>818</v>
      </c>
      <c r="C87" s="676"/>
      <c r="D87" s="95"/>
      <c r="M87" s="38"/>
      <c r="N87" s="67"/>
      <c r="O87" s="67"/>
      <c r="P87" s="88"/>
    </row>
    <row r="88" spans="1:18" s="20" customFormat="1" ht="24" customHeight="1" x14ac:dyDescent="0.2">
      <c r="A88" s="41"/>
      <c r="B88" s="132" t="s">
        <v>617</v>
      </c>
      <c r="C88" s="133"/>
      <c r="D88" s="94" t="str">
        <f>IF(M88=1,"*","")</f>
        <v>*</v>
      </c>
      <c r="G88" s="19"/>
      <c r="M88" s="87">
        <f>IF(C88="",1,0)</f>
        <v>1</v>
      </c>
    </row>
    <row r="89" spans="1:18" ht="15.95" customHeight="1" x14ac:dyDescent="0.2">
      <c r="A89" s="27"/>
      <c r="B89" s="143"/>
      <c r="C89" s="117"/>
      <c r="D89" s="95"/>
      <c r="M89" s="87"/>
      <c r="P89" s="19"/>
    </row>
    <row r="90" spans="1:18" ht="24" customHeight="1" thickBot="1" x14ac:dyDescent="0.25">
      <c r="A90" s="27"/>
      <c r="B90" s="132" t="str">
        <f>IF(C88="Foreign entity - give details","If 'Foreign entity - give details', please give legal status of Applicant Firm:",IF(C88="Other, please specify","If 'Other, please specify', please give legal status of Applicant Firm:",""))</f>
        <v/>
      </c>
      <c r="C90" s="133"/>
      <c r="D90" s="94" t="str">
        <f>IF(M90=1,"*","")</f>
        <v/>
      </c>
      <c r="M90" s="87">
        <f>IF(C88="Foreign entity - give details",IF(C90="",1,0),0)+IF(C88="Other, please specify",IF(C90="",1,0),0)</f>
        <v>0</v>
      </c>
      <c r="N90" s="32"/>
      <c r="P90" s="19"/>
    </row>
    <row r="91" spans="1:18" ht="15.95" customHeight="1" thickBot="1" x14ac:dyDescent="0.25">
      <c r="A91" s="27"/>
      <c r="B91" s="143"/>
      <c r="C91" s="117"/>
      <c r="D91" s="97"/>
      <c r="N91" s="77" t="s">
        <v>53</v>
      </c>
      <c r="O91" s="77" t="s">
        <v>54</v>
      </c>
      <c r="P91" s="77" t="s">
        <v>59</v>
      </c>
      <c r="Q91" s="77" t="s">
        <v>555</v>
      </c>
      <c r="R91" s="87"/>
    </row>
    <row r="92" spans="1:18" ht="32.1" customHeight="1" x14ac:dyDescent="0.2">
      <c r="A92" s="27"/>
      <c r="B92" s="114" t="s">
        <v>749</v>
      </c>
      <c r="C92" s="561"/>
      <c r="D92" s="94" t="str">
        <f>IF(M92=1,"*","")</f>
        <v>*</v>
      </c>
      <c r="M92" s="87">
        <f>IF(ISNUMBER(C92)=TRUE,0,1)</f>
        <v>1</v>
      </c>
      <c r="P92" s="19"/>
    </row>
    <row r="93" spans="1:18" ht="15.95" customHeight="1" x14ac:dyDescent="0.2">
      <c r="A93" s="27"/>
      <c r="B93" s="143"/>
      <c r="C93" s="117"/>
      <c r="D93" s="97"/>
      <c r="N93" s="33"/>
      <c r="O93" s="33"/>
      <c r="P93" s="33"/>
      <c r="Q93" s="33"/>
      <c r="R93" s="87"/>
    </row>
    <row r="94" spans="1:18" s="20" customFormat="1" ht="32.1" customHeight="1" x14ac:dyDescent="0.2">
      <c r="A94" s="41"/>
      <c r="B94" s="116" t="s">
        <v>618</v>
      </c>
      <c r="C94" s="152" t="str">
        <f>IF(Q94="Invalid Input","Please select only one option","")</f>
        <v/>
      </c>
      <c r="D94" s="94" t="str">
        <f>IF(M94=1,"*","")</f>
        <v>*</v>
      </c>
      <c r="G94" s="19"/>
      <c r="M94" s="32">
        <f>IF(Q94="Yes",0,IF(Q94="No",0,IF(Q94="N/A",0,1)))</f>
        <v>1</v>
      </c>
      <c r="N94" s="78" t="b">
        <v>0</v>
      </c>
      <c r="O94" s="78" t="b">
        <v>0</v>
      </c>
      <c r="P94" s="78" t="b">
        <v>0</v>
      </c>
      <c r="Q94" s="32">
        <f>VLOOKUP((N94&amp;" "&amp;O94&amp;" "&amp;P94),True4,2,FALSE)</f>
        <v>0</v>
      </c>
      <c r="R94" s="87"/>
    </row>
    <row r="95" spans="1:18" ht="15.95" customHeight="1" x14ac:dyDescent="0.2">
      <c r="A95" s="27"/>
      <c r="B95" s="144"/>
      <c r="C95" s="117"/>
      <c r="D95" s="95"/>
    </row>
    <row r="96" spans="1:18" ht="24" customHeight="1" x14ac:dyDescent="0.2">
      <c r="A96" s="27"/>
      <c r="B96" s="116" t="s">
        <v>750</v>
      </c>
      <c r="C96" s="133"/>
      <c r="D96" s="94" t="str">
        <f>IF((N94&amp;" "&amp;O94)="FALSE FALSE","",IF(M96=1,"*",""))</f>
        <v/>
      </c>
      <c r="E96" s="94"/>
      <c r="M96" s="87">
        <f>IF(Q94&lt;&gt;"Yes",0,IF(ISNUMBER(C96)=FALSE,1,0))</f>
        <v>0</v>
      </c>
      <c r="N96" s="32"/>
      <c r="P96" s="19"/>
    </row>
    <row r="97" spans="1:18" ht="15.95" customHeight="1" x14ac:dyDescent="0.2">
      <c r="A97" s="27"/>
      <c r="B97" s="142"/>
      <c r="C97" s="117"/>
      <c r="D97" s="95"/>
    </row>
    <row r="98" spans="1:18" ht="24" customHeight="1" x14ac:dyDescent="0.2">
      <c r="A98" s="27"/>
      <c r="B98" s="116" t="s">
        <v>619</v>
      </c>
      <c r="C98" s="133"/>
      <c r="D98" s="95"/>
    </row>
    <row r="99" spans="1:18" ht="21" x14ac:dyDescent="0.2">
      <c r="A99" s="27"/>
      <c r="B99" s="148" t="s">
        <v>366</v>
      </c>
      <c r="C99" s="147"/>
      <c r="D99" s="95"/>
    </row>
    <row r="100" spans="1:18" ht="13.5" thickBot="1" x14ac:dyDescent="0.25">
      <c r="A100" s="27"/>
      <c r="B100" s="146"/>
      <c r="C100" s="145"/>
      <c r="D100" s="95"/>
    </row>
    <row r="101" spans="1:18" x14ac:dyDescent="0.2">
      <c r="A101" s="27"/>
      <c r="B101" s="43"/>
      <c r="C101" s="28"/>
    </row>
    <row r="102" spans="1:18" ht="13.5" thickBot="1" x14ac:dyDescent="0.25">
      <c r="A102" s="27"/>
      <c r="B102" s="43"/>
      <c r="C102" s="28"/>
    </row>
    <row r="103" spans="1:18" ht="42" customHeight="1" x14ac:dyDescent="0.2">
      <c r="A103" s="27"/>
      <c r="B103" s="130" t="s">
        <v>449</v>
      </c>
      <c r="C103" s="416" t="s">
        <v>713</v>
      </c>
      <c r="F103" s="55"/>
    </row>
    <row r="104" spans="1:18" s="20" customFormat="1" ht="63.95" customHeight="1" x14ac:dyDescent="0.2">
      <c r="A104" s="41"/>
      <c r="B104" s="114" t="s">
        <v>728</v>
      </c>
      <c r="C104" s="312" t="str">
        <f>IF((N104&amp;" "&amp;O104)="TRUE TRUE","Please select only one option","")</f>
        <v/>
      </c>
      <c r="D104" s="94" t="str">
        <f>IF(M104=1,"*","")</f>
        <v>*</v>
      </c>
      <c r="E104" s="94"/>
      <c r="F104" s="55"/>
      <c r="G104" s="19"/>
      <c r="M104" s="497">
        <f>IF((N104&amp;" "&amp;O104)="TRUE TRUE",1,IF((N104&amp;" "&amp;O104)="TRUE FALSE",0,IF((N104&amp;" "&amp;O104)="FALSE TRUE",0,1)))</f>
        <v>1</v>
      </c>
      <c r="N104" s="78" t="b">
        <v>0</v>
      </c>
      <c r="O104" s="78" t="b">
        <v>0</v>
      </c>
      <c r="P104" s="20" t="str">
        <f>IF((N104&amp;" "&amp;O104)="TRUE TRUE","Invalid Input",IF((N104&amp;" "&amp;O104)="TRUE FALSE","Yes",IF((N104&amp;" "&amp;O104)="FALSE TRUE","No","")))</f>
        <v/>
      </c>
      <c r="R104" s="87"/>
    </row>
    <row r="105" spans="1:18" s="20" customFormat="1" ht="39.950000000000003" customHeight="1" x14ac:dyDescent="0.2">
      <c r="A105" s="41"/>
      <c r="B105" s="444" t="s">
        <v>710</v>
      </c>
      <c r="C105" s="339"/>
      <c r="D105" s="94" t="str">
        <f>IF(M105=1,"*","")</f>
        <v/>
      </c>
      <c r="E105" s="94"/>
      <c r="F105" s="55"/>
      <c r="G105" s="19"/>
      <c r="M105" s="32">
        <f>IF(P104="Yes",IF(ISBLANK(C105)=TRUE,1,0),0)</f>
        <v>0</v>
      </c>
      <c r="N105" s="78"/>
      <c r="O105" s="78"/>
      <c r="R105" s="87"/>
    </row>
    <row r="106" spans="1:18" s="20" customFormat="1" ht="39.950000000000003" customHeight="1" thickBot="1" x14ac:dyDescent="0.25">
      <c r="A106" s="41"/>
      <c r="B106" s="445" t="s">
        <v>721</v>
      </c>
      <c r="C106" s="471"/>
      <c r="D106" s="94" t="str">
        <f>IF(M106=1,"*","")</f>
        <v/>
      </c>
      <c r="E106" s="94"/>
      <c r="F106" s="55"/>
      <c r="G106" s="19"/>
      <c r="M106" s="32">
        <f>IF(P104="No",IF(ISNUMBER(C106)=TRUE,0,1),0)+IF(P104="",IF(ISBLANK(C106)=TRUE,0,1),0)</f>
        <v>0</v>
      </c>
      <c r="N106" s="78"/>
      <c r="O106" s="78"/>
      <c r="R106" s="87"/>
    </row>
    <row r="107" spans="1:18" s="20" customFormat="1" ht="15.95" customHeight="1" x14ac:dyDescent="0.2">
      <c r="A107" s="41"/>
      <c r="B107" s="26"/>
      <c r="C107" s="111"/>
      <c r="D107" s="424"/>
      <c r="E107" s="94"/>
      <c r="F107" s="55"/>
      <c r="G107" s="19"/>
      <c r="M107" s="32"/>
      <c r="N107" s="78"/>
      <c r="O107" s="78"/>
      <c r="R107" s="87"/>
    </row>
    <row r="108" spans="1:18" s="20" customFormat="1" ht="15.95" customHeight="1" x14ac:dyDescent="0.2">
      <c r="A108" s="41"/>
      <c r="B108" s="330" t="str">
        <f>IF(P104="No",IF(ISNUMBER(C106)=TRUE,"Please note that your application will not proceed until all the required documentation is submitted",""),"")</f>
        <v/>
      </c>
      <c r="C108" s="115"/>
      <c r="D108" s="424"/>
      <c r="E108" s="94"/>
      <c r="F108" s="55"/>
      <c r="G108" s="19"/>
      <c r="L108" s="129" t="s">
        <v>667</v>
      </c>
      <c r="M108" s="319" t="str">
        <f>IF(SUM(M51:M107)=0,"Valid","Invalid")</f>
        <v>Invalid</v>
      </c>
    </row>
    <row r="109" spans="1:18" s="20" customFormat="1" ht="15.95" customHeight="1" thickBot="1" x14ac:dyDescent="0.25">
      <c r="A109" s="41"/>
      <c r="B109" s="330"/>
      <c r="C109" s="115"/>
      <c r="D109" s="424"/>
      <c r="E109" s="94"/>
      <c r="F109" s="55"/>
      <c r="G109" s="19"/>
      <c r="L109" s="78"/>
      <c r="M109" s="496"/>
      <c r="O109" s="129"/>
      <c r="P109" s="319"/>
    </row>
    <row r="110" spans="1:18" ht="39.950000000000003" customHeight="1" thickBot="1" x14ac:dyDescent="0.25">
      <c r="A110" s="41"/>
      <c r="B110" s="661" t="s">
        <v>819</v>
      </c>
      <c r="C110" s="662"/>
    </row>
    <row r="111" spans="1:18" s="20" customFormat="1" ht="39.950000000000003" customHeight="1" thickBot="1" x14ac:dyDescent="0.25">
      <c r="A111" s="41"/>
      <c r="B111" s="488" t="s">
        <v>622</v>
      </c>
      <c r="C111" s="489" t="str">
        <f>IF((N111&amp;" "&amp;O111)="TRUE TRUE","Please select only one option","")</f>
        <v/>
      </c>
      <c r="D111" s="94" t="str">
        <f>IF(M111=1,"*","")</f>
        <v>*</v>
      </c>
      <c r="G111" s="19"/>
      <c r="M111" s="497">
        <f>IF((N111&amp;" "&amp;O111)="TRUE TRUE",1,IF((N111&amp;" "&amp;O111)="TRUE FALSE",0,IF((N111&amp;" "&amp;O111)="FALSE TRUE",0,1)))</f>
        <v>1</v>
      </c>
      <c r="N111" s="78" t="b">
        <v>0</v>
      </c>
      <c r="O111" s="78" t="b">
        <v>0</v>
      </c>
      <c r="P111" s="20" t="str">
        <f>IF((N111&amp;" "&amp;O111)="TRUE TRUE","Invalid Input",IF((N111&amp;" "&amp;O111)="TRUE FALSE","Yes",IF((N111&amp;" "&amp;O111)="FALSE TRUE","No","")))</f>
        <v/>
      </c>
      <c r="R111" s="87"/>
    </row>
    <row r="112" spans="1:18" ht="15.95" customHeight="1" thickBot="1" x14ac:dyDescent="0.25">
      <c r="A112" s="27"/>
      <c r="B112" s="80"/>
      <c r="C112" s="46"/>
    </row>
    <row r="113" spans="1:18" ht="42" customHeight="1" x14ac:dyDescent="0.2">
      <c r="A113" s="27"/>
      <c r="B113" s="125" t="s">
        <v>449</v>
      </c>
      <c r="C113" s="355" t="s">
        <v>713</v>
      </c>
      <c r="D113" s="153"/>
      <c r="E113" s="48"/>
    </row>
    <row r="114" spans="1:18" ht="152.1" customHeight="1" x14ac:dyDescent="0.2">
      <c r="A114" s="27"/>
      <c r="B114" s="246" t="s">
        <v>820</v>
      </c>
      <c r="C114" s="356" t="str">
        <f>IF(P114="Invalid Input","Please select only one option","")</f>
        <v/>
      </c>
      <c r="D114" s="94" t="str">
        <f>IF(M114=1,"*","")</f>
        <v/>
      </c>
      <c r="E114" s="94"/>
      <c r="F114" s="27"/>
      <c r="M114" s="32">
        <f>IF(P111="Yes",IF((N114&amp;" "&amp;O114)="TRUE TRUE",1,IF((N114&amp;" "&amp;O114)="TRUE FALSE",0,IF((N114&amp;" "&amp;O114)="FALSE TRUE",0,1))),0)</f>
        <v>0</v>
      </c>
      <c r="N114" s="78" t="b">
        <v>0</v>
      </c>
      <c r="O114" s="78" t="b">
        <v>0</v>
      </c>
      <c r="P114" s="20" t="str">
        <f>IF((N114&amp;" "&amp;O114)="TRUE TRUE","Invalid Input",IF((N114&amp;" "&amp;O114)="TRUE FALSE","Yes",IF((N114&amp;" "&amp;O114)="FALSE TRUE","No","")))</f>
        <v/>
      </c>
      <c r="Q114" s="20"/>
      <c r="R114" s="87"/>
    </row>
    <row r="115" spans="1:18" ht="48" customHeight="1" x14ac:dyDescent="0.2">
      <c r="A115" s="27"/>
      <c r="B115" s="444" t="s">
        <v>710</v>
      </c>
      <c r="C115" s="357"/>
      <c r="D115" s="94" t="str">
        <f>IF(M115=1,"*","")</f>
        <v/>
      </c>
      <c r="E115" s="94"/>
      <c r="F115" s="27"/>
      <c r="M115" s="87">
        <f>IF(P114="Yes",IF(ISBLANK(C115)=TRUE,1,0),0)</f>
        <v>0</v>
      </c>
      <c r="P115" s="19"/>
    </row>
    <row r="116" spans="1:18" ht="48" customHeight="1" thickBot="1" x14ac:dyDescent="0.25">
      <c r="A116" s="27"/>
      <c r="B116" s="445" t="s">
        <v>721</v>
      </c>
      <c r="C116" s="499"/>
      <c r="D116" s="94" t="str">
        <f>IF(M116=1,"*","")</f>
        <v/>
      </c>
      <c r="E116" s="94"/>
      <c r="F116" s="27"/>
      <c r="M116" s="87">
        <f>IF(P114="No",IF(ISNUMBER(C116)=TRUE,0,1),0)+IF(P114="",IF(ISBLANK(C116)=TRUE,0,1),0)</f>
        <v>0</v>
      </c>
      <c r="P116" s="19"/>
    </row>
    <row r="117" spans="1:18" ht="15.95" customHeight="1" x14ac:dyDescent="0.2">
      <c r="A117" s="27"/>
      <c r="B117" s="26"/>
      <c r="C117" s="151"/>
      <c r="D117" s="424"/>
      <c r="E117" s="94"/>
      <c r="L117" s="78"/>
      <c r="M117" s="496"/>
      <c r="N117" s="78"/>
      <c r="O117" s="32"/>
    </row>
    <row r="118" spans="1:18" ht="15.95" customHeight="1" x14ac:dyDescent="0.2">
      <c r="A118" s="27"/>
      <c r="B118" s="330" t="str">
        <f>IF(P114="No",IF(ISNUMBER(C116)=TRUE,"Please note that your application will not proceed until all the required documentation is submitted",""),"")</f>
        <v/>
      </c>
      <c r="C118" s="311"/>
      <c r="D118" s="109"/>
      <c r="E118" s="94"/>
      <c r="L118" s="129" t="s">
        <v>667</v>
      </c>
      <c r="M118" s="319" t="str">
        <f>IF(SUM(M110:M117)=0,"Valid","Invalid")</f>
        <v>Invalid</v>
      </c>
      <c r="P118" s="19"/>
    </row>
    <row r="119" spans="1:18" s="20" customFormat="1" ht="15.95" customHeight="1" thickBot="1" x14ac:dyDescent="0.25">
      <c r="A119" s="41"/>
      <c r="B119" s="330"/>
      <c r="C119" s="115"/>
      <c r="D119" s="424"/>
      <c r="E119" s="94"/>
      <c r="F119" s="55"/>
      <c r="G119" s="19"/>
      <c r="L119" s="78"/>
      <c r="M119" s="496"/>
      <c r="O119" s="129"/>
      <c r="P119" s="319"/>
    </row>
    <row r="120" spans="1:18" ht="32.1" customHeight="1" x14ac:dyDescent="0.2">
      <c r="A120" s="27"/>
      <c r="B120" s="605" t="s">
        <v>821</v>
      </c>
      <c r="C120" s="461"/>
      <c r="D120" s="424"/>
    </row>
    <row r="121" spans="1:18" ht="24" customHeight="1" thickBot="1" x14ac:dyDescent="0.25">
      <c r="A121" s="27"/>
      <c r="B121" s="606" t="s">
        <v>615</v>
      </c>
      <c r="C121" s="460"/>
      <c r="D121" s="424"/>
    </row>
    <row r="122" spans="1:18" s="20" customFormat="1" ht="48" customHeight="1" x14ac:dyDescent="0.2">
      <c r="A122" s="41"/>
      <c r="B122" s="341" t="s">
        <v>603</v>
      </c>
      <c r="C122" s="258" t="str">
        <f>IF((N122&amp;" "&amp;O122)="TRUE TRUE","Please select only one option","")</f>
        <v/>
      </c>
      <c r="D122" s="94" t="str">
        <f>IF(M122=1,"*","")</f>
        <v>*</v>
      </c>
      <c r="E122" s="94"/>
      <c r="G122" s="19"/>
      <c r="J122" s="428"/>
      <c r="K122" s="78"/>
      <c r="L122" s="32"/>
      <c r="M122" s="497">
        <f>IF((N122&amp;" "&amp;O122)="TRUE TRUE",1,IF((N122&amp;" "&amp;O122)="TRUE FALSE",0,IF((N122&amp;" "&amp;O122)="FALSE TRUE",0,1)))+IF(O127=1,1,0)</f>
        <v>1</v>
      </c>
      <c r="N122" s="78" t="b">
        <v>0</v>
      </c>
      <c r="O122" s="78" t="b">
        <v>0</v>
      </c>
      <c r="P122" s="87"/>
      <c r="Q122" s="32">
        <f>IF((N122&amp;" "&amp;O122)="FALSE TRUE",1,0)</f>
        <v>0</v>
      </c>
    </row>
    <row r="123" spans="1:18" s="20" customFormat="1" ht="48" customHeight="1" x14ac:dyDescent="0.2">
      <c r="A123" s="41"/>
      <c r="B123" s="350" t="s">
        <v>604</v>
      </c>
      <c r="C123" s="258" t="str">
        <f>IF((N123&amp;" "&amp;O123)="TRUE TRUE","Please select only one option","")</f>
        <v/>
      </c>
      <c r="D123" s="94" t="str">
        <f>IF(M123=1,"*","")</f>
        <v>*</v>
      </c>
      <c r="E123" s="94"/>
      <c r="G123" s="19"/>
      <c r="J123" s="428"/>
      <c r="K123" s="78"/>
      <c r="L123" s="32"/>
      <c r="M123" s="497">
        <f>IF((N123&amp;" "&amp;O123)="TRUE TRUE",1,IF((N123&amp;" "&amp;O123)="TRUE FALSE",0,IF((N123&amp;" "&amp;O123)="FALSE TRUE",0,1)))+IF(O128=1,1,0)</f>
        <v>1</v>
      </c>
      <c r="N123" s="78" t="b">
        <v>0</v>
      </c>
      <c r="O123" s="78" t="b">
        <v>0</v>
      </c>
      <c r="P123" s="87"/>
      <c r="Q123" s="32">
        <f>IF((N123&amp;" "&amp;O123)="FALSE TRUE",1,0)</f>
        <v>0</v>
      </c>
    </row>
    <row r="124" spans="1:18" s="20" customFormat="1" ht="48" customHeight="1" x14ac:dyDescent="0.2">
      <c r="A124" s="41"/>
      <c r="B124" s="350" t="s">
        <v>605</v>
      </c>
      <c r="C124" s="258" t="str">
        <f>IF((N124&amp;" "&amp;O124)="TRUE TRUE","Please select only one option","")</f>
        <v/>
      </c>
      <c r="D124" s="94" t="str">
        <f>IF(M124=1,"*","")</f>
        <v>*</v>
      </c>
      <c r="E124" s="94"/>
      <c r="G124" s="19"/>
      <c r="J124" s="428"/>
      <c r="K124" s="78"/>
      <c r="L124" s="32"/>
      <c r="M124" s="497">
        <f>IF((N124&amp;" "&amp;O124)="TRUE TRUE",1,IF((N124&amp;" "&amp;O124)="TRUE FALSE",0,IF((N124&amp;" "&amp;O124)="FALSE TRUE",0,1)))+IF(O129=1,1,0)</f>
        <v>1</v>
      </c>
      <c r="N124" s="78" t="b">
        <v>0</v>
      </c>
      <c r="O124" s="78" t="b">
        <v>0</v>
      </c>
      <c r="P124" s="87"/>
      <c r="Q124" s="32">
        <f>IF((N124&amp;" "&amp;O124)="FALSE TRUE",1,0)</f>
        <v>0</v>
      </c>
    </row>
    <row r="125" spans="1:18" s="20" customFormat="1" ht="48" customHeight="1" x14ac:dyDescent="0.2">
      <c r="A125" s="41"/>
      <c r="B125" s="341" t="s">
        <v>606</v>
      </c>
      <c r="C125" s="258" t="str">
        <f>IF((N125&amp;" "&amp;O125)="TRUE TRUE","Please select only one option","")</f>
        <v/>
      </c>
      <c r="D125" s="94" t="str">
        <f>IF(M125=1,"*","")</f>
        <v>*</v>
      </c>
      <c r="E125" s="94"/>
      <c r="G125" s="19"/>
      <c r="J125" s="428"/>
      <c r="K125" s="78"/>
      <c r="L125" s="32"/>
      <c r="M125" s="497">
        <f>IF((N125&amp;" "&amp;O125)="TRUE TRUE",1,IF((N125&amp;" "&amp;O125)="TRUE FALSE",0,IF((N125&amp;" "&amp;O125)="FALSE TRUE",0,1)))+IF(O130=1,1,0)</f>
        <v>1</v>
      </c>
      <c r="N125" s="78" t="b">
        <v>0</v>
      </c>
      <c r="O125" s="78" t="b">
        <v>0</v>
      </c>
      <c r="P125" s="87"/>
      <c r="Q125" s="32">
        <f>IF((N125&amp;" "&amp;O125)="FALSE TRUE",1,0)</f>
        <v>0</v>
      </c>
    </row>
    <row r="126" spans="1:18" s="20" customFormat="1" ht="48" customHeight="1" thickBot="1" x14ac:dyDescent="0.25">
      <c r="A126" s="41"/>
      <c r="B126" s="473" t="s">
        <v>607</v>
      </c>
      <c r="C126" s="259" t="str">
        <f>IF((N126&amp;" "&amp;O126)="TRUE TRUE","Please select only one option","")</f>
        <v/>
      </c>
      <c r="D126" s="94" t="str">
        <f>IF(M126=1,"*","")</f>
        <v>*</v>
      </c>
      <c r="E126" s="94"/>
      <c r="G126" s="19"/>
      <c r="J126" s="428"/>
      <c r="K126" s="78"/>
      <c r="L126" s="32"/>
      <c r="M126" s="497">
        <f>IF((N126&amp;" "&amp;O126)="TRUE TRUE",1,IF((N126&amp;" "&amp;O126)="TRUE FALSE",0,IF((N126&amp;" "&amp;O126)="FALSE TRUE",0,1)))+IF(Q131=1,1,0)</f>
        <v>1</v>
      </c>
      <c r="N126" s="78" t="b">
        <v>0</v>
      </c>
      <c r="O126" s="78" t="b">
        <v>0</v>
      </c>
      <c r="P126" s="87"/>
      <c r="Q126" s="32">
        <f>IF((N126&amp;" "&amp;O126)="FALSE TRUE",1,0)</f>
        <v>0</v>
      </c>
    </row>
    <row r="127" spans="1:18" s="20" customFormat="1" ht="15.95" customHeight="1" x14ac:dyDescent="0.2">
      <c r="A127" s="41"/>
      <c r="B127" s="46"/>
      <c r="C127" s="47"/>
      <c r="D127" s="24"/>
      <c r="G127" s="19"/>
      <c r="M127" s="32"/>
      <c r="O127" s="32">
        <f>IF(SUM(Q122:Q126)=5,IF(COUNTIF(O122:O126,TRUE)=5,1,0),0)</f>
        <v>0</v>
      </c>
      <c r="P127" s="87"/>
    </row>
    <row r="128" spans="1:18" s="20" customFormat="1" ht="15.95" customHeight="1" x14ac:dyDescent="0.2">
      <c r="A128" s="41"/>
      <c r="B128" s="333" t="str">
        <f>IF(O127=1,"At least one VASP service must be selected from the above table","")</f>
        <v/>
      </c>
      <c r="C128" s="418"/>
      <c r="D128" s="24"/>
      <c r="G128" s="19"/>
      <c r="M128" s="32"/>
      <c r="N128" s="32"/>
      <c r="P128" s="87"/>
    </row>
    <row r="129" spans="1:19" s="20" customFormat="1" ht="15.95" customHeight="1" thickBot="1" x14ac:dyDescent="0.25">
      <c r="A129" s="41"/>
      <c r="B129" s="46"/>
      <c r="C129" s="47"/>
      <c r="D129" s="24"/>
      <c r="G129" s="19"/>
      <c r="M129" s="32"/>
      <c r="P129" s="87"/>
    </row>
    <row r="130" spans="1:19" s="20" customFormat="1" ht="39.950000000000003" customHeight="1" x14ac:dyDescent="0.2">
      <c r="A130" s="41"/>
      <c r="B130" s="125" t="s">
        <v>449</v>
      </c>
      <c r="C130" s="355" t="s">
        <v>713</v>
      </c>
      <c r="D130" s="26"/>
      <c r="E130" s="48"/>
      <c r="G130" s="19"/>
      <c r="M130" s="32"/>
      <c r="P130" s="87"/>
    </row>
    <row r="131" spans="1:19" s="20" customFormat="1" ht="128.1" customHeight="1" x14ac:dyDescent="0.2">
      <c r="A131" s="41"/>
      <c r="B131" s="383" t="s">
        <v>748</v>
      </c>
      <c r="C131" s="353" t="str">
        <f>IF((N131&amp;" "&amp;O131)="TRUE TRUE","Please select only one option","")</f>
        <v/>
      </c>
      <c r="D131" s="94" t="str">
        <f>IF(M131=1,"*","")</f>
        <v>*</v>
      </c>
      <c r="E131" s="384"/>
      <c r="F131" s="384"/>
      <c r="G131" s="19"/>
      <c r="M131" s="32">
        <f>IF((N131&amp;" "&amp;O131)="TRUE TRUE",1,IF((N131&amp;" "&amp;O131)="TRUE FALSE",0,IF((N131&amp;" "&amp;O131)="FALSE TRUE",0,1)))</f>
        <v>1</v>
      </c>
      <c r="N131" s="78" t="b">
        <v>0</v>
      </c>
      <c r="O131" s="78" t="b">
        <v>0</v>
      </c>
      <c r="P131" s="32" t="str">
        <f>IF((N131&amp;" "&amp;O131)="TRUE TRUE","Invalid Input",IF((N131&amp;" "&amp;O131)="TRUE FALSE","Yes",IF((N131&amp;" "&amp;O131)="FALSE TRUE","No","")))</f>
        <v/>
      </c>
      <c r="R131" s="87">
        <f>IF((N131&amp;" "&amp;O131)="TRUE TRUE",1,IF((N131&amp;" "&amp;O131)="TRUE FALSE",0,IF((N131&amp;" "&amp;O131)="FALSE TRUE",0,1)))</f>
        <v>1</v>
      </c>
    </row>
    <row r="132" spans="1:19" s="20" customFormat="1" ht="39.950000000000003" customHeight="1" x14ac:dyDescent="0.2">
      <c r="A132" s="41"/>
      <c r="B132" s="444" t="s">
        <v>710</v>
      </c>
      <c r="C132" s="349"/>
      <c r="D132" s="94" t="str">
        <f>IF(M132=1,"*","")</f>
        <v/>
      </c>
      <c r="E132" s="94"/>
      <c r="G132" s="19"/>
      <c r="L132" s="78"/>
      <c r="M132" s="87">
        <f>IF(P131="Yes",IF(ISBLANK(C132)=TRUE,1,0),0)+IF(P131="",IF(ISBLANK(C132)=TRUE,0,1),0)</f>
        <v>0</v>
      </c>
    </row>
    <row r="133" spans="1:19" s="20" customFormat="1" ht="39.950000000000003" customHeight="1" thickBot="1" x14ac:dyDescent="0.25">
      <c r="A133" s="41"/>
      <c r="B133" s="445" t="s">
        <v>721</v>
      </c>
      <c r="C133" s="499"/>
      <c r="D133" s="94" t="str">
        <f>IF(M133=1,"*","")</f>
        <v/>
      </c>
      <c r="E133" s="94"/>
      <c r="G133" s="19"/>
      <c r="L133" s="78"/>
      <c r="M133" s="87">
        <f>IF(P131="No",IF(ISNUMBER(C133)=TRUE,0,1),0)+IF(P131="",IF(ISBLANK(C133)=TRUE,0,1),0)</f>
        <v>0</v>
      </c>
      <c r="N133" s="32">
        <f>IF(ISNUMBER(C133)=TRUE,1,0)</f>
        <v>0</v>
      </c>
    </row>
    <row r="134" spans="1:19" s="20" customFormat="1" ht="15.95" customHeight="1" thickBot="1" x14ac:dyDescent="0.25">
      <c r="A134" s="41"/>
      <c r="B134" s="390"/>
      <c r="C134" s="426"/>
      <c r="D134" s="94"/>
      <c r="E134" s="94"/>
      <c r="G134" s="19"/>
      <c r="L134" s="78"/>
      <c r="M134" s="496"/>
      <c r="P134" s="87"/>
    </row>
    <row r="135" spans="1:19" s="20" customFormat="1" ht="80.099999999999994" customHeight="1" x14ac:dyDescent="0.2">
      <c r="A135" s="41"/>
      <c r="B135" s="388" t="s">
        <v>796</v>
      </c>
      <c r="C135" s="389" t="str">
        <f>IF((N135&amp;" "&amp;O135)="TRUE TRUE","Please select only one option","")</f>
        <v/>
      </c>
      <c r="D135" s="94" t="str">
        <f>IF(M135=1,"*","")</f>
        <v>*</v>
      </c>
      <c r="E135" s="384"/>
      <c r="G135" s="19"/>
      <c r="M135" s="32">
        <f>IF((N135&amp;" "&amp;O135)="TRUE TRUE",1,IF((N135&amp;" "&amp;O135)="TRUE FALSE",0,IF((N135&amp;" "&amp;O135)="FALSE TRUE",0,1)))</f>
        <v>1</v>
      </c>
      <c r="N135" s="78" t="b">
        <v>0</v>
      </c>
      <c r="O135" s="78" t="b">
        <v>0</v>
      </c>
      <c r="P135" s="32" t="str">
        <f>IF((N135&amp;" "&amp;O135)="TRUE TRUE","Invalid Input",IF((N135&amp;" "&amp;O135)="TRUE FALSE","Yes",IF((N135&amp;" "&amp;O135)="FALSE TRUE","No","")))</f>
        <v/>
      </c>
      <c r="R135" s="87">
        <f>IF((N135&amp;" "&amp;O135)="TRUE TRUE",1,IF((N135&amp;" "&amp;O135)="TRUE FALSE",0,IF((N135&amp;" "&amp;O135)="FALSE TRUE",0,1)))</f>
        <v>1</v>
      </c>
    </row>
    <row r="136" spans="1:19" ht="39.950000000000003" customHeight="1" x14ac:dyDescent="0.2">
      <c r="A136" s="27"/>
      <c r="B136" s="444" t="s">
        <v>710</v>
      </c>
      <c r="C136" s="349"/>
      <c r="D136" s="94" t="str">
        <f>IF(M136=1,"*","")</f>
        <v/>
      </c>
      <c r="M136" s="87">
        <f>IF(P135="Yes",IF(ISBLANK(C136)=TRUE,1,0),0)+IF(P135="",IF(ISBLANK(C136)=TRUE,0,1),0)</f>
        <v>0</v>
      </c>
      <c r="P136" s="19"/>
    </row>
    <row r="137" spans="1:19" ht="39.950000000000003" customHeight="1" thickBot="1" x14ac:dyDescent="0.25">
      <c r="A137" s="27"/>
      <c r="B137" s="445" t="s">
        <v>721</v>
      </c>
      <c r="C137" s="499"/>
      <c r="D137" s="94" t="str">
        <f>IF(M137=1,"*","")</f>
        <v/>
      </c>
      <c r="M137" s="87">
        <f>IF(P135="No",IF(ISNUMBER(C137)=TRUE,0,1),0)+IF(P135="",IF(ISBLANK(C137)=TRUE,0,1),0)</f>
        <v>0</v>
      </c>
      <c r="N137" s="32">
        <f>IF(ISNUMBER(C137)=TRUE,1,0)</f>
        <v>0</v>
      </c>
      <c r="P137" s="19"/>
    </row>
    <row r="138" spans="1:19" ht="15.95" customHeight="1" x14ac:dyDescent="0.2">
      <c r="A138" s="27"/>
      <c r="B138" s="90"/>
      <c r="C138" s="47"/>
      <c r="D138" s="47"/>
      <c r="K138" s="68"/>
      <c r="L138" s="38" t="s">
        <v>540</v>
      </c>
      <c r="M138" s="88" t="str">
        <f>IF(SUM(M122:M137)&lt;&gt;0,"Invalid","Valid")</f>
        <v>Invalid</v>
      </c>
      <c r="P138" s="19"/>
    </row>
    <row r="139" spans="1:19" ht="15.95" customHeight="1" x14ac:dyDescent="0.2">
      <c r="A139" s="27"/>
      <c r="B139" s="330" t="str">
        <f>IF(COUNTIF(P131:P135,"No")&lt;&gt;0,IF(SUM(N133+N137)&lt;&gt;0,"Please note that your application will not proceed until all the required documentation is submitted",""),"")</f>
        <v/>
      </c>
      <c r="C139" s="309"/>
      <c r="D139" s="109"/>
    </row>
    <row r="140" spans="1:19" ht="15.95" customHeight="1" thickBot="1" x14ac:dyDescent="0.25">
      <c r="A140" s="27"/>
      <c r="B140" s="43"/>
      <c r="C140" s="28"/>
      <c r="M140" s="87"/>
      <c r="P140" s="19"/>
    </row>
    <row r="141" spans="1:19" s="20" customFormat="1" ht="48" customHeight="1" thickBot="1" x14ac:dyDescent="0.25">
      <c r="A141" s="41"/>
      <c r="B141" s="607" t="s">
        <v>822</v>
      </c>
      <c r="C141" s="608" t="s">
        <v>434</v>
      </c>
      <c r="D141" s="608" t="s">
        <v>430</v>
      </c>
      <c r="E141" s="609" t="s">
        <v>431</v>
      </c>
      <c r="G141" s="19"/>
      <c r="M141" s="87"/>
    </row>
    <row r="142" spans="1:19" ht="32.1" customHeight="1" x14ac:dyDescent="0.2">
      <c r="A142" s="27"/>
      <c r="B142" s="400" t="s">
        <v>559</v>
      </c>
      <c r="C142" s="391"/>
      <c r="D142" s="392"/>
      <c r="E142" s="393"/>
      <c r="F142" s="94" t="str">
        <f t="shared" ref="F142:F147" si="0">IF(M142&lt;&gt;0,"*","")</f>
        <v>*</v>
      </c>
      <c r="M142" s="87">
        <f t="shared" ref="M142:M147" si="1">IF(ISNUMBER(C142)=TRUE,0,1)+IF(ISNUMBER(D142)=TRUE,0,1)+IF(ISNUMBER(E142)=TRUE,0,1)</f>
        <v>3</v>
      </c>
      <c r="P142" s="19"/>
      <c r="S142" s="48"/>
    </row>
    <row r="143" spans="1:19" ht="32.1" customHeight="1" x14ac:dyDescent="0.2">
      <c r="A143" s="27"/>
      <c r="B143" s="401" t="s">
        <v>560</v>
      </c>
      <c r="C143" s="394"/>
      <c r="D143" s="395"/>
      <c r="E143" s="396"/>
      <c r="F143" s="94" t="str">
        <f t="shared" si="0"/>
        <v>*</v>
      </c>
      <c r="M143" s="87">
        <f t="shared" si="1"/>
        <v>3</v>
      </c>
      <c r="P143" s="19"/>
      <c r="S143" s="48"/>
    </row>
    <row r="144" spans="1:19" ht="32.1" customHeight="1" x14ac:dyDescent="0.2">
      <c r="A144" s="27"/>
      <c r="B144" s="401" t="s">
        <v>561</v>
      </c>
      <c r="C144" s="394"/>
      <c r="D144" s="395"/>
      <c r="E144" s="396"/>
      <c r="F144" s="94" t="str">
        <f t="shared" si="0"/>
        <v>*</v>
      </c>
      <c r="M144" s="87">
        <f t="shared" si="1"/>
        <v>3</v>
      </c>
      <c r="P144" s="19"/>
      <c r="S144" s="48"/>
    </row>
    <row r="145" spans="1:19" ht="32.1" customHeight="1" x14ac:dyDescent="0.2">
      <c r="A145" s="27"/>
      <c r="B145" s="401" t="s">
        <v>688</v>
      </c>
      <c r="C145" s="394"/>
      <c r="D145" s="395"/>
      <c r="E145" s="396"/>
      <c r="F145" s="94" t="str">
        <f t="shared" si="0"/>
        <v>*</v>
      </c>
      <c r="M145" s="87">
        <f t="shared" si="1"/>
        <v>3</v>
      </c>
      <c r="P145" s="19"/>
      <c r="S145" s="48"/>
    </row>
    <row r="146" spans="1:19" ht="32.1" customHeight="1" x14ac:dyDescent="0.2">
      <c r="A146" s="27"/>
      <c r="B146" s="401" t="s">
        <v>701</v>
      </c>
      <c r="C146" s="394"/>
      <c r="D146" s="395"/>
      <c r="E146" s="396"/>
      <c r="F146" s="94" t="str">
        <f t="shared" si="0"/>
        <v>*</v>
      </c>
      <c r="M146" s="87">
        <f t="shared" si="1"/>
        <v>3</v>
      </c>
      <c r="P146" s="19"/>
      <c r="S146" s="48"/>
    </row>
    <row r="147" spans="1:19" ht="32.1" customHeight="1" thickBot="1" x14ac:dyDescent="0.25">
      <c r="A147" s="27"/>
      <c r="B147" s="402" t="s">
        <v>797</v>
      </c>
      <c r="C147" s="397"/>
      <c r="D147" s="398"/>
      <c r="E147" s="399"/>
      <c r="F147" s="94" t="str">
        <f t="shared" si="0"/>
        <v>*</v>
      </c>
      <c r="M147" s="87">
        <f t="shared" si="1"/>
        <v>3</v>
      </c>
      <c r="P147" s="19"/>
      <c r="S147" s="48"/>
    </row>
    <row r="148" spans="1:19" ht="15.95" customHeight="1" thickBot="1" x14ac:dyDescent="0.25">
      <c r="A148" s="41"/>
      <c r="B148" s="46"/>
      <c r="C148" s="28"/>
      <c r="E148" s="27"/>
      <c r="M148" s="87"/>
      <c r="P148" s="19"/>
    </row>
    <row r="149" spans="1:19" ht="42" customHeight="1" x14ac:dyDescent="0.2">
      <c r="A149" s="27"/>
      <c r="B149" s="125" t="s">
        <v>449</v>
      </c>
      <c r="C149" s="355" t="s">
        <v>713</v>
      </c>
      <c r="D149" s="150"/>
      <c r="F149" s="27"/>
    </row>
    <row r="150" spans="1:19" ht="48" customHeight="1" x14ac:dyDescent="0.2">
      <c r="A150" s="27"/>
      <c r="B150" s="114" t="s">
        <v>798</v>
      </c>
      <c r="C150" s="258" t="str">
        <f>IF((N150&amp;" "&amp;O150)="TRUE TRUE","Please select only one option","")</f>
        <v/>
      </c>
      <c r="D150" s="94" t="str">
        <f>IF(M150=1,"*","")</f>
        <v>*</v>
      </c>
      <c r="E150" s="94"/>
      <c r="F150" s="27"/>
      <c r="M150" s="32">
        <f>IF((N150&amp;" "&amp;O150)="TRUE TRUE",1,IF((N150&amp;" "&amp;O150)="TRUE FALSE",0,IF((N150&amp;" "&amp;O150)="FALSE TRUE",0,1)))</f>
        <v>1</v>
      </c>
      <c r="N150" s="78" t="b">
        <v>0</v>
      </c>
      <c r="O150" s="496" t="b">
        <v>0</v>
      </c>
      <c r="P150" s="20" t="str">
        <f>IF((N150&amp;" "&amp;O150)="TRUE TRUE","Invalid Input",IF((N150&amp;" "&amp;O150)="TRUE FALSE","Yes",IF((N150&amp;" "&amp;O150)="FALSE TRUE","No","")))</f>
        <v/>
      </c>
      <c r="Q150" s="20"/>
      <c r="R150" s="87">
        <f>IF((N150&amp;" "&amp;O150)="TRUE TRUE",1,IF((N150&amp;" "&amp;O150)="TRUE FALSE",0,IF((N150&amp;" "&amp;O150)="FALSE TRUE",0,1)))</f>
        <v>1</v>
      </c>
    </row>
    <row r="151" spans="1:19" ht="48" customHeight="1" x14ac:dyDescent="0.2">
      <c r="A151" s="27"/>
      <c r="B151" s="444" t="s">
        <v>710</v>
      </c>
      <c r="C151" s="349"/>
      <c r="D151" s="94" t="str">
        <f>IF(M151=1,"*","")</f>
        <v/>
      </c>
      <c r="E151" s="94"/>
      <c r="F151" s="27"/>
      <c r="M151" s="87">
        <f>IF(P150="Yes",IF(ISBLANK(C151)=TRUE,1,0),0)</f>
        <v>0</v>
      </c>
      <c r="P151" s="19"/>
    </row>
    <row r="152" spans="1:19" ht="48" customHeight="1" thickBot="1" x14ac:dyDescent="0.25">
      <c r="A152" s="27"/>
      <c r="B152" s="445" t="s">
        <v>721</v>
      </c>
      <c r="C152" s="499"/>
      <c r="D152" s="94" t="str">
        <f>IF(M152=1,"*","")</f>
        <v/>
      </c>
      <c r="E152" s="94"/>
      <c r="F152" s="27"/>
      <c r="M152" s="87">
        <f>IF(P150="No",IF(ISNUMBER(C152)=TRUE,0,1),0)+IF(P150="",IF(ISBLANK(C152)=TRUE,0,1),0)</f>
        <v>0</v>
      </c>
      <c r="P152" s="19"/>
    </row>
    <row r="153" spans="1:19" ht="15.95" customHeight="1" x14ac:dyDescent="0.2">
      <c r="A153" s="27"/>
      <c r="B153" s="26"/>
      <c r="C153" s="65"/>
      <c r="D153" s="424"/>
      <c r="E153" s="94"/>
      <c r="F153" s="27"/>
      <c r="L153" s="78"/>
      <c r="M153" s="87"/>
      <c r="P153" s="19"/>
    </row>
    <row r="154" spans="1:19" ht="15.95" customHeight="1" x14ac:dyDescent="0.2">
      <c r="A154" s="27"/>
      <c r="B154" s="330" t="str">
        <f>IF(P150="No",IF(ISNUMBER(C152)=TRUE,"Please note that your application will not proceed until all the required documentation is submitted",""),"")</f>
        <v/>
      </c>
      <c r="C154" s="310"/>
      <c r="F154" s="27"/>
      <c r="K154" s="67"/>
      <c r="L154" s="38" t="s">
        <v>540</v>
      </c>
      <c r="M154" s="88" t="str">
        <f>IF(SUM(M142:M152)&lt;&gt;0,"Invalid","Valid")</f>
        <v>Invalid</v>
      </c>
      <c r="P154" s="19"/>
    </row>
    <row r="155" spans="1:19" ht="13.5" thickBot="1" x14ac:dyDescent="0.25"/>
    <row r="156" spans="1:19" ht="39.950000000000003" customHeight="1" thickBot="1" x14ac:dyDescent="0.25">
      <c r="A156" s="27"/>
      <c r="B156" s="661" t="s">
        <v>823</v>
      </c>
      <c r="C156" s="662"/>
    </row>
    <row r="157" spans="1:19" ht="48" customHeight="1" x14ac:dyDescent="0.2">
      <c r="A157" s="27"/>
      <c r="B157" s="341" t="s">
        <v>620</v>
      </c>
      <c r="C157" s="312" t="str">
        <f>IF((N157&amp;" "&amp;O157)="TRUE TRUE","Please select only one option","")</f>
        <v/>
      </c>
      <c r="D157" s="94" t="str">
        <f t="shared" ref="D157:D166" si="2">IF(M157=1,"*","")</f>
        <v>*</v>
      </c>
      <c r="M157" s="32">
        <f>IF((N157&amp;" "&amp;O157)="TRUE TRUE",1,IF((N157&amp;" "&amp;O157)="TRUE FALSE",0,IF((N157&amp;" "&amp;O157)="FALSE TRUE",0,1)))</f>
        <v>1</v>
      </c>
      <c r="N157" s="78" t="b">
        <v>0</v>
      </c>
      <c r="O157" s="496" t="b">
        <v>0</v>
      </c>
      <c r="P157" s="20"/>
      <c r="Q157" s="32" t="str">
        <f>IF((N157&amp;" "&amp;O157)="TRUE TRUE","Invalid Input",IF((N157&amp;" "&amp;O157)="TRUE FALSE","Yes",IF((N157&amp;" "&amp;O157)="FALSE TRUE","No","")))</f>
        <v/>
      </c>
      <c r="R157" s="87"/>
    </row>
    <row r="158" spans="1:19" ht="39.6" customHeight="1" x14ac:dyDescent="0.2">
      <c r="A158" s="27"/>
      <c r="B158" s="341" t="s">
        <v>548</v>
      </c>
      <c r="C158" s="137"/>
      <c r="D158" s="94" t="str">
        <f t="shared" si="2"/>
        <v/>
      </c>
      <c r="M158" s="32">
        <f>IF(Q157="Yes",IF(C158="",1,0),0)</f>
        <v>0</v>
      </c>
      <c r="N158" s="342"/>
      <c r="O158" s="497"/>
      <c r="P158" s="19"/>
      <c r="Q158" s="32"/>
      <c r="R158" s="87"/>
    </row>
    <row r="159" spans="1:19" ht="48" customHeight="1" x14ac:dyDescent="0.2">
      <c r="A159" s="27"/>
      <c r="B159" s="341" t="s">
        <v>621</v>
      </c>
      <c r="C159" s="312" t="str">
        <f t="shared" ref="C159:C163" si="3">IF((N159&amp;" "&amp;O159)="TRUE TRUE","Please select only one option","")</f>
        <v/>
      </c>
      <c r="D159" s="94" t="str">
        <f t="shared" si="2"/>
        <v>*</v>
      </c>
      <c r="M159" s="32">
        <f>IF((N159&amp;" "&amp;O159)="TRUE TRUE",1,IF((N159&amp;" "&amp;O159)="TRUE FALSE",0,IF((N159&amp;" "&amp;O159)="FALSE TRUE",0,1)))</f>
        <v>1</v>
      </c>
      <c r="N159" s="78" t="b">
        <v>0</v>
      </c>
      <c r="O159" s="496" t="b">
        <v>0</v>
      </c>
      <c r="P159" s="20"/>
      <c r="Q159" s="32" t="str">
        <f>IF((N159&amp;" "&amp;O159)="TRUE TRUE","Invalid Input",IF((N159&amp;" "&amp;O159)="TRUE FALSE","Yes",IF((N159&amp;" "&amp;O159)="FALSE TRUE","No","")))</f>
        <v/>
      </c>
      <c r="R159" s="87"/>
    </row>
    <row r="160" spans="1:19" ht="48" customHeight="1" x14ac:dyDescent="0.2">
      <c r="A160" s="27"/>
      <c r="B160" s="341" t="s">
        <v>657</v>
      </c>
      <c r="C160" s="312" t="str">
        <f t="shared" si="3"/>
        <v/>
      </c>
      <c r="D160" s="94" t="str">
        <f t="shared" si="2"/>
        <v>*</v>
      </c>
      <c r="M160" s="32">
        <f>IF((N160&amp;" "&amp;O160)="TRUE TRUE",1,IF((N160&amp;" "&amp;O160)="TRUE FALSE",0,IF((N160&amp;" "&amp;O160)="FALSE TRUE",0,1)))</f>
        <v>1</v>
      </c>
      <c r="N160" s="78" t="b">
        <v>0</v>
      </c>
      <c r="O160" s="496" t="b">
        <v>0</v>
      </c>
      <c r="P160" s="20"/>
      <c r="Q160" s="32" t="str">
        <f>IF((N160&amp;" "&amp;O160)="TRUE TRUE","Invalid Input",IF((N160&amp;" "&amp;O160)="TRUE FALSE","Yes",IF((N160&amp;" "&amp;O160)="FALSE TRUE","No","")))</f>
        <v/>
      </c>
      <c r="R160" s="87"/>
    </row>
    <row r="161" spans="1:18" ht="48" customHeight="1" x14ac:dyDescent="0.2">
      <c r="A161" s="27"/>
      <c r="B161" s="341" t="s">
        <v>658</v>
      </c>
      <c r="C161" s="312" t="str">
        <f t="shared" si="3"/>
        <v/>
      </c>
      <c r="D161" s="94" t="str">
        <f t="shared" si="2"/>
        <v>*</v>
      </c>
      <c r="M161" s="32">
        <f>IF((N161&amp;" "&amp;O161)="TRUE TRUE",1,IF((N161&amp;" "&amp;O161)="TRUE FALSE",0,IF((N161&amp;" "&amp;O161)="FALSE TRUE",0,1)))</f>
        <v>1</v>
      </c>
      <c r="N161" s="78" t="b">
        <v>0</v>
      </c>
      <c r="O161" s="496" t="b">
        <v>0</v>
      </c>
      <c r="P161" s="20"/>
      <c r="Q161" s="32" t="str">
        <f>IF((N161&amp;" "&amp;O161)="TRUE TRUE","Invalid Input",IF((N161&amp;" "&amp;O161)="TRUE FALSE","Yes",IF((N161&amp;" "&amp;O161)="FALSE TRUE","No","")))</f>
        <v/>
      </c>
      <c r="R161" s="87"/>
    </row>
    <row r="162" spans="1:18" ht="48" customHeight="1" x14ac:dyDescent="0.2">
      <c r="A162" s="27"/>
      <c r="B162" s="341" t="s">
        <v>659</v>
      </c>
      <c r="C162" s="312" t="str">
        <f t="shared" si="3"/>
        <v/>
      </c>
      <c r="D162" s="94" t="str">
        <f t="shared" si="2"/>
        <v>*</v>
      </c>
      <c r="M162" s="32">
        <f>IF((N162&amp;" "&amp;O162)="TRUE TRUE",1,IF((N162&amp;" "&amp;O162)="TRUE FALSE",0,IF((N162&amp;" "&amp;O162)="FALSE TRUE",0,1)))</f>
        <v>1</v>
      </c>
      <c r="N162" s="78" t="b">
        <v>0</v>
      </c>
      <c r="O162" s="496" t="b">
        <v>0</v>
      </c>
      <c r="P162" s="20"/>
      <c r="Q162" s="32" t="str">
        <f>IF((N162&amp;" "&amp;O162)="TRUE TRUE","Invalid Input",IF((N162&amp;" "&amp;O162)="TRUE FALSE","Yes",IF((N162&amp;" "&amp;O162)="FALSE TRUE","No","")))</f>
        <v/>
      </c>
      <c r="R162" s="87"/>
    </row>
    <row r="163" spans="1:18" ht="48" customHeight="1" x14ac:dyDescent="0.2">
      <c r="A163" s="27"/>
      <c r="B163" s="341" t="s">
        <v>825</v>
      </c>
      <c r="C163" s="312" t="str">
        <f t="shared" si="3"/>
        <v/>
      </c>
      <c r="D163" s="94" t="str">
        <f t="shared" si="2"/>
        <v>*</v>
      </c>
      <c r="M163" s="32">
        <f>IF((N163&amp;" "&amp;O163)="TRUE TRUE",1,IF((N163&amp;" "&amp;O163)="TRUE FALSE",0,IF((N163&amp;" "&amp;O163)="FALSE TRUE",0,1)))</f>
        <v>1</v>
      </c>
      <c r="N163" s="78" t="b">
        <v>0</v>
      </c>
      <c r="O163" s="496" t="b">
        <v>0</v>
      </c>
      <c r="P163" s="20"/>
      <c r="Q163" s="32" t="str">
        <f>IF((N163&amp;" "&amp;O163)="TRUE TRUE","Invalid Input",IF((N163&amp;" "&amp;O163)="TRUE FALSE","Yes",IF((N163&amp;" "&amp;O163)="FALSE TRUE","No","")))</f>
        <v/>
      </c>
      <c r="R163" s="87"/>
    </row>
    <row r="164" spans="1:18" ht="39.6" customHeight="1" x14ac:dyDescent="0.2">
      <c r="A164" s="27"/>
      <c r="B164" s="341" t="s">
        <v>660</v>
      </c>
      <c r="C164" s="137"/>
      <c r="D164" s="94" t="str">
        <f t="shared" si="2"/>
        <v/>
      </c>
      <c r="N164" s="342"/>
      <c r="O164" s="497"/>
      <c r="P164" s="19"/>
      <c r="Q164" s="20"/>
      <c r="R164" s="87"/>
    </row>
    <row r="165" spans="1:18" s="20" customFormat="1" ht="63.95" customHeight="1" x14ac:dyDescent="0.2">
      <c r="A165" s="41"/>
      <c r="B165" s="341" t="s">
        <v>661</v>
      </c>
      <c r="C165" s="312" t="str">
        <f>IF((N165&amp;" "&amp;O165&amp;" "&amp;P165)="TRUE TRUE TRUE","Please select only one option",IF((N165&amp;" "&amp;O165&amp;" "&amp;P165)="TRUE FALSE TRUE","Please select only one option",IF((N165&amp;" "&amp;O165&amp;" "&amp;P165)="TRUE TRUE FALSE","Please select only one option",IF((N165&amp;" "&amp;O165&amp;" "&amp;P165)="FALSE TRUE TRUE","Please select only one option",""))))</f>
        <v/>
      </c>
      <c r="D165" s="94" t="str">
        <f t="shared" si="2"/>
        <v>*</v>
      </c>
      <c r="G165" s="19"/>
      <c r="M165" s="32">
        <f>IF(Q165="Yes",0,IF(Q165="No",0,IF(Q165="N/A",0,1)))</f>
        <v>1</v>
      </c>
      <c r="N165" s="78" t="b">
        <v>0</v>
      </c>
      <c r="O165" s="496" t="b">
        <v>0</v>
      </c>
      <c r="P165" s="78" t="b">
        <v>0</v>
      </c>
      <c r="Q165" s="32">
        <f>VLOOKUP((N165&amp;" "&amp;O165&amp;" "&amp;P165),True4,2,FALSE)</f>
        <v>0</v>
      </c>
      <c r="R165" s="87"/>
    </row>
    <row r="166" spans="1:18" s="20" customFormat="1" ht="63.95" customHeight="1" thickBot="1" x14ac:dyDescent="0.25">
      <c r="A166" s="41"/>
      <c r="B166" s="475" t="s">
        <v>662</v>
      </c>
      <c r="C166" s="495" t="str">
        <f>IF((N166&amp;" "&amp;O166&amp;" "&amp;P166)="TRUE TRUE TRUE","Please select only one option",IF((N166&amp;" "&amp;O166&amp;" "&amp;P166)="TRUE FALSE TRUE","Please select only one option",IF((N166&amp;" "&amp;O166&amp;" "&amp;P166)="TRUE TRUE FALSE","Please select only one option",IF((N166&amp;" "&amp;O166&amp;" "&amp;P166)="FALSE TRUE TRUE","Please select only one option",""))))</f>
        <v/>
      </c>
      <c r="D166" s="94" t="str">
        <f t="shared" si="2"/>
        <v>*</v>
      </c>
      <c r="G166" s="19"/>
      <c r="M166" s="32">
        <f>IF(Q166="Yes",0,IF(Q166="No",0,IF(Q166="N/A",0,1)))</f>
        <v>1</v>
      </c>
      <c r="N166" s="78" t="b">
        <v>0</v>
      </c>
      <c r="O166" s="496" t="b">
        <v>0</v>
      </c>
      <c r="P166" s="78" t="b">
        <v>0</v>
      </c>
      <c r="Q166" s="32">
        <f>VLOOKUP((N166&amp;" "&amp;O166&amp;" "&amp;P166),True4,2,FALSE)</f>
        <v>0</v>
      </c>
      <c r="R166" s="87"/>
    </row>
    <row r="167" spans="1:18" ht="15.95" customHeight="1" x14ac:dyDescent="0.2">
      <c r="A167" s="27"/>
      <c r="B167" s="43"/>
      <c r="C167" s="28"/>
      <c r="M167" s="19"/>
      <c r="O167" s="32"/>
      <c r="P167" s="19"/>
      <c r="Q167" s="149">
        <f>IF(COUNTIF(Q157:Q166,"Yes")&lt;&gt;0,1,0)</f>
        <v>0</v>
      </c>
      <c r="R167" s="89"/>
    </row>
    <row r="168" spans="1:18" ht="15.95" customHeight="1" x14ac:dyDescent="0.2">
      <c r="A168" s="27"/>
      <c r="B168" s="43"/>
      <c r="C168" s="28"/>
      <c r="M168" s="19"/>
      <c r="O168" s="32"/>
      <c r="P168" s="19"/>
      <c r="Q168" s="149"/>
      <c r="R168" s="89"/>
    </row>
    <row r="169" spans="1:18" ht="15.95" customHeight="1" thickBot="1" x14ac:dyDescent="0.25">
      <c r="A169" s="27"/>
      <c r="B169" s="43"/>
      <c r="C169" s="28"/>
      <c r="M169" s="19"/>
      <c r="O169" s="32"/>
      <c r="P169" s="19"/>
      <c r="R169" s="87"/>
    </row>
    <row r="170" spans="1:18" ht="39.950000000000003" customHeight="1" x14ac:dyDescent="0.2">
      <c r="A170" s="27"/>
      <c r="B170" s="158" t="s">
        <v>449</v>
      </c>
      <c r="C170" s="447" t="s">
        <v>713</v>
      </c>
      <c r="M170" s="19"/>
      <c r="O170" s="32"/>
      <c r="P170" s="19"/>
      <c r="Q170" s="32">
        <f>IF(COUNTIF(Q157:Q166,"No")+COUNTIF(Q157:Q166,"N/A")=8,1,0)</f>
        <v>0</v>
      </c>
      <c r="R170" s="87"/>
    </row>
    <row r="171" spans="1:18" ht="39.950000000000003" customHeight="1" x14ac:dyDescent="0.2">
      <c r="A171" s="27"/>
      <c r="B171" s="114" t="s">
        <v>740</v>
      </c>
      <c r="C171" s="152" t="str">
        <f>IF(P171="Invalid Input","Please select only one option","")</f>
        <v/>
      </c>
      <c r="D171" s="94" t="str">
        <f>IF(R171=1,"*","")</f>
        <v/>
      </c>
      <c r="E171" s="94"/>
      <c r="M171" s="32">
        <f>IF(Q167=1,IF((N171&amp;" "&amp;O171)="TRUE TRUE",1,IF((N171&amp;" "&amp;O171)="TRUE FALSE",0,IF((N171&amp;" "&amp;O171)="FALSE TRUE",0,1))),0)</f>
        <v>0</v>
      </c>
      <c r="N171" s="78" t="b">
        <v>0</v>
      </c>
      <c r="O171" s="496" t="b">
        <v>0</v>
      </c>
      <c r="P171" s="20" t="str">
        <f>IF((N171&amp;" "&amp;O171)="TRUE TRUE","Invalid Input",IF((N171&amp;" "&amp;O171)="TRUE FALSE","Yes",IF((N171&amp;" "&amp;O171)="FALSE TRUE","No","")))</f>
        <v/>
      </c>
      <c r="Q171" s="20"/>
      <c r="R171" s="87">
        <f>IF(Q167=1,IF((N171&amp;" "&amp;O171)="TRUE TRUE",1,IF((N171&amp;" "&amp;O171)="TRUE FALSE",0,IF((N171&amp;" "&amp;O171)="FALSE TRUE",0,1))),0)</f>
        <v>0</v>
      </c>
    </row>
    <row r="172" spans="1:18" ht="39.950000000000003" customHeight="1" x14ac:dyDescent="0.2">
      <c r="A172" s="27"/>
      <c r="B172" s="444" t="s">
        <v>738</v>
      </c>
      <c r="C172" s="349"/>
      <c r="D172" s="94" t="str">
        <f>IF(M172=1,"*","")</f>
        <v/>
      </c>
      <c r="M172" s="87">
        <f>IF(P171="Yes",IF(ISBLANK(C172)=TRUE,1,0),0)</f>
        <v>0</v>
      </c>
      <c r="P172" s="19"/>
    </row>
    <row r="173" spans="1:18" ht="39.950000000000003" customHeight="1" thickBot="1" x14ac:dyDescent="0.25">
      <c r="A173" s="27"/>
      <c r="B173" s="445" t="s">
        <v>739</v>
      </c>
      <c r="C173" s="499"/>
      <c r="D173" s="94" t="str">
        <f>IF(M173=1,"*","")</f>
        <v/>
      </c>
      <c r="M173" s="87">
        <f>IF(P171="No",IF(ISNUMBER(C173)=TRUE,0,1),0)+IF(P171="",IF(ISBLANK(C173)=TRUE,0,1),0)</f>
        <v>0</v>
      </c>
      <c r="P173" s="19"/>
    </row>
    <row r="174" spans="1:18" x14ac:dyDescent="0.2">
      <c r="A174" s="27"/>
      <c r="B174" s="43"/>
      <c r="C174" s="569"/>
      <c r="M174" s="19"/>
      <c r="O174" s="32"/>
      <c r="P174" s="19"/>
      <c r="R174" s="87"/>
    </row>
    <row r="175" spans="1:18" ht="15" x14ac:dyDescent="0.2">
      <c r="A175" s="27"/>
      <c r="B175" s="330" t="str">
        <f>IF(P171="No",IF(ISNUMBER(C173)=TRUE,"Please note that your application will not proceed until all the required documentation is submitted",""),"")</f>
        <v/>
      </c>
      <c r="C175" s="310"/>
      <c r="D175" s="109"/>
      <c r="L175" s="38" t="s">
        <v>540</v>
      </c>
      <c r="M175" s="88" t="str">
        <f>IF(SUM(M157:M173)&lt;&gt;0,"Invalid","Valid")</f>
        <v>Invalid</v>
      </c>
    </row>
    <row r="176" spans="1:18" x14ac:dyDescent="0.2">
      <c r="A176" s="27"/>
      <c r="B176" s="43"/>
      <c r="C176" s="28"/>
    </row>
    <row r="177" spans="1:16" ht="15" x14ac:dyDescent="0.2">
      <c r="A177" s="27"/>
      <c r="B177" s="551" t="str">
        <f>IF(COUNTIF($M$8:M176,"Invalid")=7,"Please Complete all Sections",IF(COUNTIF($M$8:M176,"Invalid")=0,"All Sections Completed",IF(COUNTIF($M$8:M176,"Invalid")&lt;7,"Please Ensure all sections are completed before progressing to the next section")))</f>
        <v>Please Complete all Sections</v>
      </c>
      <c r="C177" s="310"/>
    </row>
    <row r="178" spans="1:16" x14ac:dyDescent="0.2">
      <c r="A178" s="27"/>
      <c r="B178" s="43"/>
      <c r="C178" s="28"/>
    </row>
    <row r="179" spans="1:16" x14ac:dyDescent="0.2">
      <c r="A179" s="27"/>
      <c r="B179" s="43"/>
      <c r="C179" s="28"/>
    </row>
    <row r="180" spans="1:16" x14ac:dyDescent="0.2">
      <c r="A180" s="27"/>
      <c r="B180" s="43"/>
      <c r="C180" s="28"/>
    </row>
    <row r="181" spans="1:16" x14ac:dyDescent="0.2">
      <c r="A181" s="27"/>
      <c r="B181" s="43"/>
      <c r="C181" s="28"/>
    </row>
    <row r="182" spans="1:16" x14ac:dyDescent="0.2">
      <c r="A182" s="27"/>
      <c r="B182" s="43"/>
      <c r="C182" s="28"/>
    </row>
    <row r="183" spans="1:16" ht="14.25" x14ac:dyDescent="0.2">
      <c r="A183" s="27"/>
      <c r="B183" s="112"/>
      <c r="C183" s="28"/>
    </row>
    <row r="184" spans="1:16" ht="14.25" x14ac:dyDescent="0.2">
      <c r="A184" s="27"/>
      <c r="B184" s="113"/>
      <c r="P184" s="19"/>
    </row>
    <row r="185" spans="1:16" ht="14.25" x14ac:dyDescent="0.2">
      <c r="A185" s="27"/>
      <c r="B185" s="113"/>
    </row>
    <row r="186" spans="1:16" x14ac:dyDescent="0.2">
      <c r="A186" s="27"/>
      <c r="B186" s="43"/>
    </row>
    <row r="1545" spans="13:13" x14ac:dyDescent="0.2">
      <c r="M1545" s="32" t="b">
        <v>1</v>
      </c>
    </row>
  </sheetData>
  <sheetProtection algorithmName="SHA-512" hashValue="VRqXCjfWKYzOKTHXwu5A7742bX98anxop4pq6JzAMh/vciIUrOo7AOZN2UtCMyAlAzDE/a0JI+kwG+6A4p4OhQ==" saltValue="4TfyGjHZDhv+3c81jvxSqQ==" spinCount="100000" sheet="1" objects="1" scenarios="1" selectLockedCells="1"/>
  <mergeCells count="11">
    <mergeCell ref="B12:C12"/>
    <mergeCell ref="B58:C58"/>
    <mergeCell ref="B8:C8"/>
    <mergeCell ref="B87:C87"/>
    <mergeCell ref="B110:C110"/>
    <mergeCell ref="B156:C156"/>
    <mergeCell ref="B13:C13"/>
    <mergeCell ref="B22:C22"/>
    <mergeCell ref="B32:C32"/>
    <mergeCell ref="B48:C48"/>
    <mergeCell ref="B72:C72"/>
  </mergeCells>
  <conditionalFormatting sqref="B90">
    <cfRule type="expression" dxfId="161" priority="85">
      <formula>$C$90=""</formula>
    </cfRule>
  </conditionalFormatting>
  <conditionalFormatting sqref="B96">
    <cfRule type="expression" dxfId="160" priority="84">
      <formula>$L$99="Blank"</formula>
    </cfRule>
  </conditionalFormatting>
  <conditionalFormatting sqref="B94">
    <cfRule type="expression" dxfId="159" priority="83">
      <formula>$L$96="Blank"</formula>
    </cfRule>
  </conditionalFormatting>
  <conditionalFormatting sqref="D130">
    <cfRule type="expression" dxfId="158" priority="75">
      <formula>$H$96=1</formula>
    </cfRule>
  </conditionalFormatting>
  <conditionalFormatting sqref="D149">
    <cfRule type="expression" dxfId="157" priority="74">
      <formula>$H$96=1</formula>
    </cfRule>
  </conditionalFormatting>
  <conditionalFormatting sqref="D113">
    <cfRule type="expression" dxfId="156" priority="73">
      <formula>$H$96=1</formula>
    </cfRule>
  </conditionalFormatting>
  <conditionalFormatting sqref="C90">
    <cfRule type="expression" dxfId="155" priority="62">
      <formula>$N$90=1</formula>
    </cfRule>
  </conditionalFormatting>
  <conditionalFormatting sqref="G103">
    <cfRule type="expression" dxfId="154" priority="55">
      <formula>$J$96=1</formula>
    </cfRule>
  </conditionalFormatting>
  <conditionalFormatting sqref="C171:C173">
    <cfRule type="expression" dxfId="153" priority="21">
      <formula>$Q$170=1</formula>
    </cfRule>
  </conditionalFormatting>
  <conditionalFormatting sqref="C24:C30">
    <cfRule type="expression" dxfId="152" priority="20">
      <formula>$P$23="No"</formula>
    </cfRule>
  </conditionalFormatting>
  <conditionalFormatting sqref="B61:C66">
    <cfRule type="expression" dxfId="151" priority="18">
      <formula>$P$59="No"</formula>
    </cfRule>
  </conditionalFormatting>
  <conditionalFormatting sqref="B77:C85">
    <cfRule type="expression" dxfId="150" priority="17">
      <formula>$P$75="No"</formula>
    </cfRule>
  </conditionalFormatting>
  <conditionalFormatting sqref="C151">
    <cfRule type="expression" dxfId="149" priority="16">
      <formula>$P$150="No"</formula>
    </cfRule>
  </conditionalFormatting>
  <conditionalFormatting sqref="C152">
    <cfRule type="expression" dxfId="148" priority="15">
      <formula>$P$150="Yes"</formula>
    </cfRule>
  </conditionalFormatting>
  <conditionalFormatting sqref="C114:C116">
    <cfRule type="expression" dxfId="147" priority="14">
      <formula>$P$111="No"</formula>
    </cfRule>
  </conditionalFormatting>
  <conditionalFormatting sqref="C170">
    <cfRule type="expression" dxfId="146" priority="13">
      <formula>$O$215=1</formula>
    </cfRule>
  </conditionalFormatting>
  <conditionalFormatting sqref="B171:B173">
    <cfRule type="expression" dxfId="145" priority="12">
      <formula>$O$215=1</formula>
    </cfRule>
  </conditionalFormatting>
  <conditionalFormatting sqref="B114">
    <cfRule type="expression" dxfId="144" priority="11">
      <formula>$N$189="No"</formula>
    </cfRule>
  </conditionalFormatting>
  <conditionalFormatting sqref="B44:C44">
    <cfRule type="expression" dxfId="143" priority="9">
      <formula>#REF!="Yes"</formula>
    </cfRule>
  </conditionalFormatting>
  <conditionalFormatting sqref="C42">
    <cfRule type="expression" dxfId="142" priority="7">
      <formula>$H$96=1</formula>
    </cfRule>
  </conditionalFormatting>
  <conditionalFormatting sqref="N91:Q91 N93:Q93">
    <cfRule type="expression" dxfId="141" priority="914">
      <formula>#REF!=1</formula>
    </cfRule>
  </conditionalFormatting>
  <conditionalFormatting sqref="B177">
    <cfRule type="expression" dxfId="140" priority="2">
      <formula>$B$177="All Sections Completed"</formula>
    </cfRule>
  </conditionalFormatting>
  <conditionalFormatting sqref="C34:C40">
    <cfRule type="expression" dxfId="139" priority="1">
      <formula>$P$33="No"</formula>
    </cfRule>
  </conditionalFormatting>
  <dataValidations count="21">
    <dataValidation allowBlank="1" showInputMessage="1" showErrorMessage="1" errorTitle="Legal Advisors" error="Please only select values from the drop down menu provided" sqref="C82"/>
    <dataValidation type="list" allowBlank="1" showInputMessage="1" showErrorMessage="1" errorTitle="Legal Status of Firm" error="Please only select values from the drop down menu provided" sqref="C88">
      <formula1>Company</formula1>
    </dataValidation>
    <dataValidation type="custom" allowBlank="1" showInputMessage="1" showErrorMessage="1" errorTitle="Firm Email Address" error="Email address is invalid" sqref="C68">
      <formula1>AND(ISNUMBER(MATCH("*@*.*",C68,0)), LEN(C68) &lt;= 200)</formula1>
    </dataValidation>
    <dataValidation type="custom" allowBlank="1" showInputMessage="1" showErrorMessage="1" errorTitle="Email Address" error="Email address is invalid" sqref="C18 C28 C38">
      <formula1>AND(ISNUMBER(MATCH("*@*.*",C18,0)), LEN(C18) &lt;= 200)</formula1>
    </dataValidation>
    <dataValidation type="list" allowBlank="1" showInputMessage="1" showErrorMessage="1" errorTitle="Firm Details" error="Please only select values from the drop down menu provided" sqref="C55">
      <formula1>county</formula1>
    </dataValidation>
    <dataValidation type="list" allowBlank="1" showInputMessage="1" showErrorMessage="1" errorTitle="Registered Office" error="Please only select values from the drop down menu provided" sqref="C65">
      <formula1>county</formula1>
    </dataValidation>
    <dataValidation type="whole" allowBlank="1" showInputMessage="1" showErrorMessage="1" errorTitle="Input Numercial Values Only" error="Please only enter numerical values in this field._x000a_All values should be in thousands_x000a__x000a_" promptTitle="Projected Turnover" prompt="All financial figures should be reported in Euro thousands (€'000).  The '€' and 'k' symbols should be omitted when keying in this data and only digits should be input.  For example: €325,652 should be stated as 326." sqref="C143">
      <formula1>0</formula1>
      <formula2>999999999999999</formula2>
    </dataValidation>
    <dataValidation type="whole" allowBlank="1" showErrorMessage="1" errorTitle="Input Numerical Values Only" error="Please only enter numerical values in this field._x000a_All values should be in thousands_x000a_" promptTitle="Projected Turnover" prompt="All financial figures should be reported in Euro thousands (€'000).  The '€' and 'k' symbols should be omitted when keying in this data and only digits should be input.  For example: €325,652 should be stated as 326." sqref="D143">
      <formula1>0</formula1>
      <formula2>999999999999999</formula2>
    </dataValidation>
    <dataValidation type="whole" allowBlank="1" showErrorMessage="1" errorTitle="Input Numerical Values Only" error="Please only enter numerical values in this field._x000a_All values should be in thousands_x000a__x000a_" promptTitle="Projected Turnover" prompt="All financial figures should be reported in Euro thousands (€'000).  The '€' and 'k' symbols should be omitted when keying in this data and only digits should be input.  For example: €325,652 should be stated as 326." sqref="E143">
      <formula1>0</formula1>
      <formula2>999999999999999</formula2>
    </dataValidation>
    <dataValidation type="whole" allowBlank="1" showInputMessage="1" showErrorMessage="1" errorTitle="Input Numercial Values Only" error="Please only enter numerical values in this field._x000a_All values should be in thousands_x000a_" promptTitle="Projected Value of Transactions" prompt="All financial figures should be reported in Euro thousands (€'000).  The '€' and 'k' symbols should be omitted when keying in this data and only digits should be input.  For example: €325,652 should be stated as 326." sqref="C145">
      <formula1>0</formula1>
      <formula2>999999999999999</formula2>
    </dataValidation>
    <dataValidation type="whole" allowBlank="1" showErrorMessage="1" errorTitle="Input Numercial Values Only" error="Please only enter numerical values in this field._x000a_All values should be in thousands_x000a_" promptTitle="Projected Value of Transactions" prompt="All financial figures should be reported in Euro thousands (€'000).  The '€' and 'k' symbols should be omitted when keying in this data and only digits should be input.  For example: €325,652 should be stated as 326." sqref="D145:E146">
      <formula1>0</formula1>
      <formula2>999999999999999</formula2>
    </dataValidation>
    <dataValidation type="whole" operator="greaterThan" allowBlank="1" showInputMessage="1" showErrorMessage="1" errorTitle="Central Bank Institution No." error="Please only enter numeric data.  Please ensure that the 'C' is not is not entered" promptTitle="Central Bank Institution No." prompt="Please enter the Central Bank Institution number omitting the C.  Please enter numeric data only." sqref="C9 C158 C164">
      <formula1>0</formula1>
    </dataValidation>
    <dataValidation type="whole" operator="greaterThan" allowBlank="1" showInputMessage="1" showErrorMessage="1" errorTitle="Phone Number Details:" error="Please only enter numeric values in this field" sqref="C39:C40 C29:C31 C20:C21">
      <formula1>0</formula1>
    </dataValidation>
    <dataValidation type="list" allowBlank="1" showInputMessage="1" showErrorMessage="1" errorTitle="Legal Advisors" error="Please only select values from the drop down menu provided" sqref="C83">
      <formula1>country_all</formula1>
    </dataValidation>
    <dataValidation type="custom" allowBlank="1" showInputMessage="1" showErrorMessage="1" sqref="C85">
      <formula1>AND(ISNUMBER(MATCH("*@*.*",C85,0)), LEN(C85) &lt;= 200)</formula1>
    </dataValidation>
    <dataValidation type="whole" allowBlank="1" showInputMessage="1" showErrorMessage="1" errorTitle="Input Numercial Values Only" error="Please only enter numerical values in this field._x000a_All values should be in thousands_x000a_" promptTitle="Projected Value: Virtual Assets" prompt="All financial figures should be reported in Euro thousands (€'000).  The '€' and 'k' symbols should be omitted when keying in this data and only digits should be input.  For example: €325,652 should be stated as 326." sqref="C146">
      <formula1>0</formula1>
      <formula2>999999999999999</formula2>
    </dataValidation>
    <dataValidation type="date" allowBlank="1" showInputMessage="1" showErrorMessage="1" errorTitle="Date" error="Please only enter dates in the dd/mm/yyyy format" sqref="C92">
      <formula1>TODAY()-7300</formula1>
      <formula2>TODAY()+1500</formula2>
    </dataValidation>
    <dataValidation type="whole" operator="greaterThan" allowBlank="1" showInputMessage="1" showErrorMessage="1" errorTitle="CRO Number" error="Please only enter numerical data in this field" sqref="C96">
      <formula1>0</formula1>
    </dataValidation>
    <dataValidation type="date" allowBlank="1" showInputMessage="1" showErrorMessage="1" errorTitle="Date" error="Please only inout dates in the dd/mm/yyyy format" sqref="C133 C137">
      <formula1>TODAY()-30</formula1>
      <formula2>TODAY()+7500</formula2>
    </dataValidation>
    <dataValidation type="textLength" operator="lessThan" allowBlank="1" showInputMessage="1" showErrorMessage="1" errorTitle="Cell Values" error="Please do not enter any data into this cell_x000a_" sqref="C174">
      <formula1>1</formula1>
    </dataValidation>
    <dataValidation type="whole" operator="greaterThan" allowBlank="1" showInputMessage="1" showErrorMessage="1" errorTitle="Phone Number Details:" error="Please only enter numeric values in this field" promptTitle="Phone Number" prompt="Please enter phone number using your local code_x000a_i.e 00 000 0000" sqref="C19">
      <formula1>0</formula1>
    </dataValidation>
  </dataValidations>
  <pageMargins left="0.7" right="0.7" top="0.75" bottom="0.75" header="0.3" footer="0.3"/>
  <pageSetup paperSize="9" scale="67" orientation="portrait" r:id="rId1"/>
  <headerFooter>
    <oddHeader>&amp;C&amp;G&amp;L&amp;"Times New Roman,Regular"&amp;12&amp;K000000 </oddHeader>
    <evenHeader>&amp;L&amp;"Times New Roman,Regular"&amp;12&amp;K000000 </evenHeader>
    <firstHeader>&amp;L&amp;"Times New Roman,Regular"&amp;12&amp;K000000 </first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61443" r:id="rId5" name="Check Box 3">
              <controlPr defaultSize="0" autoFill="0" autoLine="0" autoPict="0">
                <anchor moveWithCells="1">
                  <from>
                    <xdr:col>2</xdr:col>
                    <xdr:colOff>714375</xdr:colOff>
                    <xdr:row>93</xdr:row>
                    <xdr:rowOff>9525</xdr:rowOff>
                  </from>
                  <to>
                    <xdr:col>2</xdr:col>
                    <xdr:colOff>1343025</xdr:colOff>
                    <xdr:row>94</xdr:row>
                    <xdr:rowOff>9525</xdr:rowOff>
                  </to>
                </anchor>
              </controlPr>
            </control>
          </mc:Choice>
        </mc:AlternateContent>
        <mc:AlternateContent xmlns:mc="http://schemas.openxmlformats.org/markup-compatibility/2006">
          <mc:Choice Requires="x14">
            <control shapeId="61444" r:id="rId6" name="Check Box 4">
              <controlPr defaultSize="0" autoFill="0" autoLine="0" autoPict="0">
                <anchor moveWithCells="1">
                  <from>
                    <xdr:col>2</xdr:col>
                    <xdr:colOff>1457325</xdr:colOff>
                    <xdr:row>93</xdr:row>
                    <xdr:rowOff>9525</xdr:rowOff>
                  </from>
                  <to>
                    <xdr:col>2</xdr:col>
                    <xdr:colOff>2085975</xdr:colOff>
                    <xdr:row>94</xdr:row>
                    <xdr:rowOff>9525</xdr:rowOff>
                  </to>
                </anchor>
              </controlPr>
            </control>
          </mc:Choice>
        </mc:AlternateContent>
        <mc:AlternateContent xmlns:mc="http://schemas.openxmlformats.org/markup-compatibility/2006">
          <mc:Choice Requires="x14">
            <control shapeId="61457" r:id="rId7" name="Check Box 17">
              <controlPr defaultSize="0" autoFill="0" autoLine="0" autoPict="0">
                <anchor moveWithCells="1">
                  <from>
                    <xdr:col>2</xdr:col>
                    <xdr:colOff>990600</xdr:colOff>
                    <xdr:row>156</xdr:row>
                    <xdr:rowOff>9525</xdr:rowOff>
                  </from>
                  <to>
                    <xdr:col>2</xdr:col>
                    <xdr:colOff>1885950</xdr:colOff>
                    <xdr:row>157</xdr:row>
                    <xdr:rowOff>0</xdr:rowOff>
                  </to>
                </anchor>
              </controlPr>
            </control>
          </mc:Choice>
        </mc:AlternateContent>
        <mc:AlternateContent xmlns:mc="http://schemas.openxmlformats.org/markup-compatibility/2006">
          <mc:Choice Requires="x14">
            <control shapeId="61458" r:id="rId8" name="Check Box 18">
              <controlPr defaultSize="0" autoFill="0" autoLine="0" autoPict="0">
                <anchor moveWithCells="1">
                  <from>
                    <xdr:col>2</xdr:col>
                    <xdr:colOff>2000250</xdr:colOff>
                    <xdr:row>156</xdr:row>
                    <xdr:rowOff>9525</xdr:rowOff>
                  </from>
                  <to>
                    <xdr:col>2</xdr:col>
                    <xdr:colOff>2895600</xdr:colOff>
                    <xdr:row>157</xdr:row>
                    <xdr:rowOff>0</xdr:rowOff>
                  </to>
                </anchor>
              </controlPr>
            </control>
          </mc:Choice>
        </mc:AlternateContent>
        <mc:AlternateContent xmlns:mc="http://schemas.openxmlformats.org/markup-compatibility/2006">
          <mc:Choice Requires="x14">
            <control shapeId="61459" r:id="rId9" name="Check Box 19">
              <controlPr defaultSize="0" autoFill="0" autoLine="0" autoPict="0">
                <anchor moveWithCells="1">
                  <from>
                    <xdr:col>2</xdr:col>
                    <xdr:colOff>990600</xdr:colOff>
                    <xdr:row>158</xdr:row>
                    <xdr:rowOff>9525</xdr:rowOff>
                  </from>
                  <to>
                    <xdr:col>2</xdr:col>
                    <xdr:colOff>1885950</xdr:colOff>
                    <xdr:row>159</xdr:row>
                    <xdr:rowOff>9525</xdr:rowOff>
                  </to>
                </anchor>
              </controlPr>
            </control>
          </mc:Choice>
        </mc:AlternateContent>
        <mc:AlternateContent xmlns:mc="http://schemas.openxmlformats.org/markup-compatibility/2006">
          <mc:Choice Requires="x14">
            <control shapeId="61460" r:id="rId10" name="Check Box 20">
              <controlPr defaultSize="0" autoFill="0" autoLine="0" autoPict="0">
                <anchor moveWithCells="1">
                  <from>
                    <xdr:col>2</xdr:col>
                    <xdr:colOff>2000250</xdr:colOff>
                    <xdr:row>158</xdr:row>
                    <xdr:rowOff>9525</xdr:rowOff>
                  </from>
                  <to>
                    <xdr:col>2</xdr:col>
                    <xdr:colOff>2676525</xdr:colOff>
                    <xdr:row>159</xdr:row>
                    <xdr:rowOff>9525</xdr:rowOff>
                  </to>
                </anchor>
              </controlPr>
            </control>
          </mc:Choice>
        </mc:AlternateContent>
        <mc:AlternateContent xmlns:mc="http://schemas.openxmlformats.org/markup-compatibility/2006">
          <mc:Choice Requires="x14">
            <control shapeId="61461" r:id="rId11" name="Check Box 21">
              <controlPr defaultSize="0" autoFill="0" autoLine="0" autoPict="0">
                <anchor moveWithCells="1">
                  <from>
                    <xdr:col>2</xdr:col>
                    <xdr:colOff>990600</xdr:colOff>
                    <xdr:row>159</xdr:row>
                    <xdr:rowOff>9525</xdr:rowOff>
                  </from>
                  <to>
                    <xdr:col>2</xdr:col>
                    <xdr:colOff>1885950</xdr:colOff>
                    <xdr:row>160</xdr:row>
                    <xdr:rowOff>9525</xdr:rowOff>
                  </to>
                </anchor>
              </controlPr>
            </control>
          </mc:Choice>
        </mc:AlternateContent>
        <mc:AlternateContent xmlns:mc="http://schemas.openxmlformats.org/markup-compatibility/2006">
          <mc:Choice Requires="x14">
            <control shapeId="61462" r:id="rId12" name="Check Box 22">
              <controlPr defaultSize="0" autoFill="0" autoLine="0" autoPict="0">
                <anchor moveWithCells="1">
                  <from>
                    <xdr:col>2</xdr:col>
                    <xdr:colOff>2000250</xdr:colOff>
                    <xdr:row>159</xdr:row>
                    <xdr:rowOff>9525</xdr:rowOff>
                  </from>
                  <to>
                    <xdr:col>2</xdr:col>
                    <xdr:colOff>2676525</xdr:colOff>
                    <xdr:row>160</xdr:row>
                    <xdr:rowOff>9525</xdr:rowOff>
                  </to>
                </anchor>
              </controlPr>
            </control>
          </mc:Choice>
        </mc:AlternateContent>
        <mc:AlternateContent xmlns:mc="http://schemas.openxmlformats.org/markup-compatibility/2006">
          <mc:Choice Requires="x14">
            <control shapeId="61463" r:id="rId13" name="Check Box 23">
              <controlPr defaultSize="0" autoFill="0" autoLine="0" autoPict="0">
                <anchor moveWithCells="1">
                  <from>
                    <xdr:col>2</xdr:col>
                    <xdr:colOff>1000125</xdr:colOff>
                    <xdr:row>160</xdr:row>
                    <xdr:rowOff>9525</xdr:rowOff>
                  </from>
                  <to>
                    <xdr:col>2</xdr:col>
                    <xdr:colOff>1895475</xdr:colOff>
                    <xdr:row>161</xdr:row>
                    <xdr:rowOff>9525</xdr:rowOff>
                  </to>
                </anchor>
              </controlPr>
            </control>
          </mc:Choice>
        </mc:AlternateContent>
        <mc:AlternateContent xmlns:mc="http://schemas.openxmlformats.org/markup-compatibility/2006">
          <mc:Choice Requires="x14">
            <control shapeId="61464" r:id="rId14" name="Check Box 24">
              <controlPr defaultSize="0" autoFill="0" autoLine="0" autoPict="0">
                <anchor moveWithCells="1">
                  <from>
                    <xdr:col>2</xdr:col>
                    <xdr:colOff>2000250</xdr:colOff>
                    <xdr:row>160</xdr:row>
                    <xdr:rowOff>9525</xdr:rowOff>
                  </from>
                  <to>
                    <xdr:col>2</xdr:col>
                    <xdr:colOff>2676525</xdr:colOff>
                    <xdr:row>161</xdr:row>
                    <xdr:rowOff>9525</xdr:rowOff>
                  </to>
                </anchor>
              </controlPr>
            </control>
          </mc:Choice>
        </mc:AlternateContent>
        <mc:AlternateContent xmlns:mc="http://schemas.openxmlformats.org/markup-compatibility/2006">
          <mc:Choice Requires="x14">
            <control shapeId="61465" r:id="rId15" name="Check Box 25">
              <controlPr defaultSize="0" autoFill="0" autoLine="0" autoPict="0">
                <anchor moveWithCells="1">
                  <from>
                    <xdr:col>2</xdr:col>
                    <xdr:colOff>990600</xdr:colOff>
                    <xdr:row>161</xdr:row>
                    <xdr:rowOff>9525</xdr:rowOff>
                  </from>
                  <to>
                    <xdr:col>2</xdr:col>
                    <xdr:colOff>1885950</xdr:colOff>
                    <xdr:row>162</xdr:row>
                    <xdr:rowOff>9525</xdr:rowOff>
                  </to>
                </anchor>
              </controlPr>
            </control>
          </mc:Choice>
        </mc:AlternateContent>
        <mc:AlternateContent xmlns:mc="http://schemas.openxmlformats.org/markup-compatibility/2006">
          <mc:Choice Requires="x14">
            <control shapeId="61466" r:id="rId16" name="Check Box 26">
              <controlPr defaultSize="0" autoFill="0" autoLine="0" autoPict="0">
                <anchor moveWithCells="1">
                  <from>
                    <xdr:col>2</xdr:col>
                    <xdr:colOff>2000250</xdr:colOff>
                    <xdr:row>161</xdr:row>
                    <xdr:rowOff>9525</xdr:rowOff>
                  </from>
                  <to>
                    <xdr:col>2</xdr:col>
                    <xdr:colOff>2676525</xdr:colOff>
                    <xdr:row>162</xdr:row>
                    <xdr:rowOff>9525</xdr:rowOff>
                  </to>
                </anchor>
              </controlPr>
            </control>
          </mc:Choice>
        </mc:AlternateContent>
        <mc:AlternateContent xmlns:mc="http://schemas.openxmlformats.org/markup-compatibility/2006">
          <mc:Choice Requires="x14">
            <control shapeId="61467" r:id="rId17" name="Check Box 27">
              <controlPr defaultSize="0" autoFill="0" autoLine="0" autoPict="0">
                <anchor moveWithCells="1">
                  <from>
                    <xdr:col>2</xdr:col>
                    <xdr:colOff>990600</xdr:colOff>
                    <xdr:row>162</xdr:row>
                    <xdr:rowOff>9525</xdr:rowOff>
                  </from>
                  <to>
                    <xdr:col>2</xdr:col>
                    <xdr:colOff>1885950</xdr:colOff>
                    <xdr:row>163</xdr:row>
                    <xdr:rowOff>9525</xdr:rowOff>
                  </to>
                </anchor>
              </controlPr>
            </control>
          </mc:Choice>
        </mc:AlternateContent>
        <mc:AlternateContent xmlns:mc="http://schemas.openxmlformats.org/markup-compatibility/2006">
          <mc:Choice Requires="x14">
            <control shapeId="61468" r:id="rId18" name="Check Box 28">
              <controlPr defaultSize="0" autoFill="0" autoLine="0" autoPict="0">
                <anchor moveWithCells="1">
                  <from>
                    <xdr:col>2</xdr:col>
                    <xdr:colOff>2000250</xdr:colOff>
                    <xdr:row>162</xdr:row>
                    <xdr:rowOff>9525</xdr:rowOff>
                  </from>
                  <to>
                    <xdr:col>2</xdr:col>
                    <xdr:colOff>2676525</xdr:colOff>
                    <xdr:row>163</xdr:row>
                    <xdr:rowOff>9525</xdr:rowOff>
                  </to>
                </anchor>
              </controlPr>
            </control>
          </mc:Choice>
        </mc:AlternateContent>
        <mc:AlternateContent xmlns:mc="http://schemas.openxmlformats.org/markup-compatibility/2006">
          <mc:Choice Requires="x14">
            <control shapeId="61469" r:id="rId19" name="Check Box 29">
              <controlPr defaultSize="0" autoFill="0" autoLine="0" autoPict="0">
                <anchor moveWithCells="1">
                  <from>
                    <xdr:col>2</xdr:col>
                    <xdr:colOff>733425</xdr:colOff>
                    <xdr:row>164</xdr:row>
                    <xdr:rowOff>9525</xdr:rowOff>
                  </from>
                  <to>
                    <xdr:col>2</xdr:col>
                    <xdr:colOff>1457325</xdr:colOff>
                    <xdr:row>164</xdr:row>
                    <xdr:rowOff>800100</xdr:rowOff>
                  </to>
                </anchor>
              </controlPr>
            </control>
          </mc:Choice>
        </mc:AlternateContent>
        <mc:AlternateContent xmlns:mc="http://schemas.openxmlformats.org/markup-compatibility/2006">
          <mc:Choice Requires="x14">
            <control shapeId="61470" r:id="rId20" name="Check Box 30">
              <controlPr defaultSize="0" autoFill="0" autoLine="0" autoPict="0">
                <anchor moveWithCells="1">
                  <from>
                    <xdr:col>2</xdr:col>
                    <xdr:colOff>1476375</xdr:colOff>
                    <xdr:row>164</xdr:row>
                    <xdr:rowOff>9525</xdr:rowOff>
                  </from>
                  <to>
                    <xdr:col>2</xdr:col>
                    <xdr:colOff>2200275</xdr:colOff>
                    <xdr:row>164</xdr:row>
                    <xdr:rowOff>800100</xdr:rowOff>
                  </to>
                </anchor>
              </controlPr>
            </control>
          </mc:Choice>
        </mc:AlternateContent>
        <mc:AlternateContent xmlns:mc="http://schemas.openxmlformats.org/markup-compatibility/2006">
          <mc:Choice Requires="x14">
            <control shapeId="61471" r:id="rId21" name="Check Box 31">
              <controlPr defaultSize="0" autoFill="0" autoLine="0" autoPict="0">
                <anchor moveWithCells="1">
                  <from>
                    <xdr:col>2</xdr:col>
                    <xdr:colOff>2219325</xdr:colOff>
                    <xdr:row>164</xdr:row>
                    <xdr:rowOff>9525</xdr:rowOff>
                  </from>
                  <to>
                    <xdr:col>2</xdr:col>
                    <xdr:colOff>2943225</xdr:colOff>
                    <xdr:row>164</xdr:row>
                    <xdr:rowOff>800100</xdr:rowOff>
                  </to>
                </anchor>
              </controlPr>
            </control>
          </mc:Choice>
        </mc:AlternateContent>
        <mc:AlternateContent xmlns:mc="http://schemas.openxmlformats.org/markup-compatibility/2006">
          <mc:Choice Requires="x14">
            <control shapeId="61565" r:id="rId22" name="Check Box 125">
              <controlPr defaultSize="0" autoFill="0" autoLine="0" autoPict="0" altText="N/A">
                <anchor moveWithCells="1">
                  <from>
                    <xdr:col>2</xdr:col>
                    <xdr:colOff>2200275</xdr:colOff>
                    <xdr:row>93</xdr:row>
                    <xdr:rowOff>9525</xdr:rowOff>
                  </from>
                  <to>
                    <xdr:col>2</xdr:col>
                    <xdr:colOff>2828925</xdr:colOff>
                    <xdr:row>94</xdr:row>
                    <xdr:rowOff>9525</xdr:rowOff>
                  </to>
                </anchor>
              </controlPr>
            </control>
          </mc:Choice>
        </mc:AlternateContent>
        <mc:AlternateContent xmlns:mc="http://schemas.openxmlformats.org/markup-compatibility/2006">
          <mc:Choice Requires="x14">
            <control shapeId="61606" r:id="rId23" name="Check Box 166">
              <controlPr defaultSize="0" autoFill="0" autoLine="0" autoPict="0">
                <anchor moveWithCells="1">
                  <from>
                    <xdr:col>2</xdr:col>
                    <xdr:colOff>990600</xdr:colOff>
                    <xdr:row>103</xdr:row>
                    <xdr:rowOff>9525</xdr:rowOff>
                  </from>
                  <to>
                    <xdr:col>2</xdr:col>
                    <xdr:colOff>1981200</xdr:colOff>
                    <xdr:row>104</xdr:row>
                    <xdr:rowOff>9525</xdr:rowOff>
                  </to>
                </anchor>
              </controlPr>
            </control>
          </mc:Choice>
        </mc:AlternateContent>
        <mc:AlternateContent xmlns:mc="http://schemas.openxmlformats.org/markup-compatibility/2006">
          <mc:Choice Requires="x14">
            <control shapeId="61607" r:id="rId24" name="Check Box 167">
              <controlPr defaultSize="0" autoFill="0" autoLine="0" autoPict="0">
                <anchor moveWithCells="1">
                  <from>
                    <xdr:col>2</xdr:col>
                    <xdr:colOff>2000250</xdr:colOff>
                    <xdr:row>103</xdr:row>
                    <xdr:rowOff>9525</xdr:rowOff>
                  </from>
                  <to>
                    <xdr:col>2</xdr:col>
                    <xdr:colOff>2990850</xdr:colOff>
                    <xdr:row>104</xdr:row>
                    <xdr:rowOff>9525</xdr:rowOff>
                  </to>
                </anchor>
              </controlPr>
            </control>
          </mc:Choice>
        </mc:AlternateContent>
        <mc:AlternateContent xmlns:mc="http://schemas.openxmlformats.org/markup-compatibility/2006">
          <mc:Choice Requires="x14">
            <control shapeId="61611" r:id="rId25" name="Check Box 171">
              <controlPr defaultSize="0" autoFill="0" autoLine="0" autoPict="0">
                <anchor moveWithCells="1">
                  <from>
                    <xdr:col>2</xdr:col>
                    <xdr:colOff>990600</xdr:colOff>
                    <xdr:row>58</xdr:row>
                    <xdr:rowOff>9525</xdr:rowOff>
                  </from>
                  <to>
                    <xdr:col>2</xdr:col>
                    <xdr:colOff>1981200</xdr:colOff>
                    <xdr:row>59</xdr:row>
                    <xdr:rowOff>9525</xdr:rowOff>
                  </to>
                </anchor>
              </controlPr>
            </control>
          </mc:Choice>
        </mc:AlternateContent>
        <mc:AlternateContent xmlns:mc="http://schemas.openxmlformats.org/markup-compatibility/2006">
          <mc:Choice Requires="x14">
            <control shapeId="61612" r:id="rId26" name="Check Box 172">
              <controlPr defaultSize="0" autoFill="0" autoLine="0" autoPict="0">
                <anchor moveWithCells="1">
                  <from>
                    <xdr:col>2</xdr:col>
                    <xdr:colOff>2000250</xdr:colOff>
                    <xdr:row>58</xdr:row>
                    <xdr:rowOff>9525</xdr:rowOff>
                  </from>
                  <to>
                    <xdr:col>2</xdr:col>
                    <xdr:colOff>2990850</xdr:colOff>
                    <xdr:row>59</xdr:row>
                    <xdr:rowOff>9525</xdr:rowOff>
                  </to>
                </anchor>
              </controlPr>
            </control>
          </mc:Choice>
        </mc:AlternateContent>
        <mc:AlternateContent xmlns:mc="http://schemas.openxmlformats.org/markup-compatibility/2006">
          <mc:Choice Requires="x14">
            <control shapeId="61613" r:id="rId27" name="Check Box 173">
              <controlPr defaultSize="0" autoFill="0" autoLine="0" autoPict="0">
                <anchor moveWithCells="1">
                  <from>
                    <xdr:col>2</xdr:col>
                    <xdr:colOff>990600</xdr:colOff>
                    <xdr:row>74</xdr:row>
                    <xdr:rowOff>9525</xdr:rowOff>
                  </from>
                  <to>
                    <xdr:col>2</xdr:col>
                    <xdr:colOff>1981200</xdr:colOff>
                    <xdr:row>75</xdr:row>
                    <xdr:rowOff>9525</xdr:rowOff>
                  </to>
                </anchor>
              </controlPr>
            </control>
          </mc:Choice>
        </mc:AlternateContent>
        <mc:AlternateContent xmlns:mc="http://schemas.openxmlformats.org/markup-compatibility/2006">
          <mc:Choice Requires="x14">
            <control shapeId="61614" r:id="rId28" name="Check Box 174">
              <controlPr defaultSize="0" autoFill="0" autoLine="0" autoPict="0">
                <anchor moveWithCells="1">
                  <from>
                    <xdr:col>2</xdr:col>
                    <xdr:colOff>2000250</xdr:colOff>
                    <xdr:row>74</xdr:row>
                    <xdr:rowOff>9525</xdr:rowOff>
                  </from>
                  <to>
                    <xdr:col>2</xdr:col>
                    <xdr:colOff>2990850</xdr:colOff>
                    <xdr:row>75</xdr:row>
                    <xdr:rowOff>9525</xdr:rowOff>
                  </to>
                </anchor>
              </controlPr>
            </control>
          </mc:Choice>
        </mc:AlternateContent>
        <mc:AlternateContent xmlns:mc="http://schemas.openxmlformats.org/markup-compatibility/2006">
          <mc:Choice Requires="x14">
            <control shapeId="61620" r:id="rId29" name="Check Box 180">
              <controlPr defaultSize="0" autoFill="0" autoLine="0" autoPict="0">
                <anchor moveWithCells="1">
                  <from>
                    <xdr:col>2</xdr:col>
                    <xdr:colOff>990600</xdr:colOff>
                    <xdr:row>121</xdr:row>
                    <xdr:rowOff>0</xdr:rowOff>
                  </from>
                  <to>
                    <xdr:col>2</xdr:col>
                    <xdr:colOff>1981200</xdr:colOff>
                    <xdr:row>122</xdr:row>
                    <xdr:rowOff>0</xdr:rowOff>
                  </to>
                </anchor>
              </controlPr>
            </control>
          </mc:Choice>
        </mc:AlternateContent>
        <mc:AlternateContent xmlns:mc="http://schemas.openxmlformats.org/markup-compatibility/2006">
          <mc:Choice Requires="x14">
            <control shapeId="61621" r:id="rId30" name="Check Box 181">
              <controlPr defaultSize="0" autoFill="0" autoLine="0" autoPict="0">
                <anchor moveWithCells="1">
                  <from>
                    <xdr:col>2</xdr:col>
                    <xdr:colOff>2000250</xdr:colOff>
                    <xdr:row>121</xdr:row>
                    <xdr:rowOff>0</xdr:rowOff>
                  </from>
                  <to>
                    <xdr:col>2</xdr:col>
                    <xdr:colOff>2990850</xdr:colOff>
                    <xdr:row>122</xdr:row>
                    <xdr:rowOff>0</xdr:rowOff>
                  </to>
                </anchor>
              </controlPr>
            </control>
          </mc:Choice>
        </mc:AlternateContent>
        <mc:AlternateContent xmlns:mc="http://schemas.openxmlformats.org/markup-compatibility/2006">
          <mc:Choice Requires="x14">
            <control shapeId="61622" r:id="rId31" name="Check Box 182">
              <controlPr defaultSize="0" autoFill="0" autoLine="0" autoPict="0">
                <anchor moveWithCells="1">
                  <from>
                    <xdr:col>2</xdr:col>
                    <xdr:colOff>990600</xdr:colOff>
                    <xdr:row>121</xdr:row>
                    <xdr:rowOff>609600</xdr:rowOff>
                  </from>
                  <to>
                    <xdr:col>2</xdr:col>
                    <xdr:colOff>1981200</xdr:colOff>
                    <xdr:row>123</xdr:row>
                    <xdr:rowOff>0</xdr:rowOff>
                  </to>
                </anchor>
              </controlPr>
            </control>
          </mc:Choice>
        </mc:AlternateContent>
        <mc:AlternateContent xmlns:mc="http://schemas.openxmlformats.org/markup-compatibility/2006">
          <mc:Choice Requires="x14">
            <control shapeId="61623" r:id="rId32" name="Check Box 183">
              <controlPr defaultSize="0" autoFill="0" autoLine="0" autoPict="0">
                <anchor moveWithCells="1">
                  <from>
                    <xdr:col>2</xdr:col>
                    <xdr:colOff>2000250</xdr:colOff>
                    <xdr:row>121</xdr:row>
                    <xdr:rowOff>609600</xdr:rowOff>
                  </from>
                  <to>
                    <xdr:col>2</xdr:col>
                    <xdr:colOff>2990850</xdr:colOff>
                    <xdr:row>123</xdr:row>
                    <xdr:rowOff>0</xdr:rowOff>
                  </to>
                </anchor>
              </controlPr>
            </control>
          </mc:Choice>
        </mc:AlternateContent>
        <mc:AlternateContent xmlns:mc="http://schemas.openxmlformats.org/markup-compatibility/2006">
          <mc:Choice Requires="x14">
            <control shapeId="61624" r:id="rId33" name="Check Box 184">
              <controlPr defaultSize="0" autoFill="0" autoLine="0" autoPict="0">
                <anchor moveWithCells="1">
                  <from>
                    <xdr:col>2</xdr:col>
                    <xdr:colOff>990600</xdr:colOff>
                    <xdr:row>122</xdr:row>
                    <xdr:rowOff>609600</xdr:rowOff>
                  </from>
                  <to>
                    <xdr:col>2</xdr:col>
                    <xdr:colOff>1981200</xdr:colOff>
                    <xdr:row>124</xdr:row>
                    <xdr:rowOff>0</xdr:rowOff>
                  </to>
                </anchor>
              </controlPr>
            </control>
          </mc:Choice>
        </mc:AlternateContent>
        <mc:AlternateContent xmlns:mc="http://schemas.openxmlformats.org/markup-compatibility/2006">
          <mc:Choice Requires="x14">
            <control shapeId="61625" r:id="rId34" name="Check Box 185">
              <controlPr defaultSize="0" autoFill="0" autoLine="0" autoPict="0">
                <anchor moveWithCells="1">
                  <from>
                    <xdr:col>2</xdr:col>
                    <xdr:colOff>2000250</xdr:colOff>
                    <xdr:row>122</xdr:row>
                    <xdr:rowOff>609600</xdr:rowOff>
                  </from>
                  <to>
                    <xdr:col>2</xdr:col>
                    <xdr:colOff>2990850</xdr:colOff>
                    <xdr:row>124</xdr:row>
                    <xdr:rowOff>0</xdr:rowOff>
                  </to>
                </anchor>
              </controlPr>
            </control>
          </mc:Choice>
        </mc:AlternateContent>
        <mc:AlternateContent xmlns:mc="http://schemas.openxmlformats.org/markup-compatibility/2006">
          <mc:Choice Requires="x14">
            <control shapeId="61626" r:id="rId35" name="Check Box 186">
              <controlPr defaultSize="0" autoFill="0" autoLine="0" autoPict="0">
                <anchor moveWithCells="1">
                  <from>
                    <xdr:col>2</xdr:col>
                    <xdr:colOff>990600</xdr:colOff>
                    <xdr:row>123</xdr:row>
                    <xdr:rowOff>609600</xdr:rowOff>
                  </from>
                  <to>
                    <xdr:col>2</xdr:col>
                    <xdr:colOff>1981200</xdr:colOff>
                    <xdr:row>125</xdr:row>
                    <xdr:rowOff>0</xdr:rowOff>
                  </to>
                </anchor>
              </controlPr>
            </control>
          </mc:Choice>
        </mc:AlternateContent>
        <mc:AlternateContent xmlns:mc="http://schemas.openxmlformats.org/markup-compatibility/2006">
          <mc:Choice Requires="x14">
            <control shapeId="61627" r:id="rId36" name="Check Box 187">
              <controlPr defaultSize="0" autoFill="0" autoLine="0" autoPict="0">
                <anchor moveWithCells="1">
                  <from>
                    <xdr:col>2</xdr:col>
                    <xdr:colOff>2000250</xdr:colOff>
                    <xdr:row>123</xdr:row>
                    <xdr:rowOff>609600</xdr:rowOff>
                  </from>
                  <to>
                    <xdr:col>2</xdr:col>
                    <xdr:colOff>2990850</xdr:colOff>
                    <xdr:row>125</xdr:row>
                    <xdr:rowOff>0</xdr:rowOff>
                  </to>
                </anchor>
              </controlPr>
            </control>
          </mc:Choice>
        </mc:AlternateContent>
        <mc:AlternateContent xmlns:mc="http://schemas.openxmlformats.org/markup-compatibility/2006">
          <mc:Choice Requires="x14">
            <control shapeId="61628" r:id="rId37" name="Check Box 188">
              <controlPr defaultSize="0" autoFill="0" autoLine="0" autoPict="0">
                <anchor moveWithCells="1">
                  <from>
                    <xdr:col>2</xdr:col>
                    <xdr:colOff>990600</xdr:colOff>
                    <xdr:row>124</xdr:row>
                    <xdr:rowOff>609600</xdr:rowOff>
                  </from>
                  <to>
                    <xdr:col>2</xdr:col>
                    <xdr:colOff>1981200</xdr:colOff>
                    <xdr:row>126</xdr:row>
                    <xdr:rowOff>0</xdr:rowOff>
                  </to>
                </anchor>
              </controlPr>
            </control>
          </mc:Choice>
        </mc:AlternateContent>
        <mc:AlternateContent xmlns:mc="http://schemas.openxmlformats.org/markup-compatibility/2006">
          <mc:Choice Requires="x14">
            <control shapeId="61629" r:id="rId38" name="Check Box 189">
              <controlPr defaultSize="0" autoFill="0" autoLine="0" autoPict="0">
                <anchor moveWithCells="1">
                  <from>
                    <xdr:col>2</xdr:col>
                    <xdr:colOff>2000250</xdr:colOff>
                    <xdr:row>124</xdr:row>
                    <xdr:rowOff>609600</xdr:rowOff>
                  </from>
                  <to>
                    <xdr:col>2</xdr:col>
                    <xdr:colOff>2990850</xdr:colOff>
                    <xdr:row>126</xdr:row>
                    <xdr:rowOff>0</xdr:rowOff>
                  </to>
                </anchor>
              </controlPr>
            </control>
          </mc:Choice>
        </mc:AlternateContent>
        <mc:AlternateContent xmlns:mc="http://schemas.openxmlformats.org/markup-compatibility/2006">
          <mc:Choice Requires="x14">
            <control shapeId="61630" r:id="rId39" name="Check Box 190">
              <controlPr defaultSize="0" autoFill="0" autoLine="0" autoPict="0">
                <anchor moveWithCells="1">
                  <from>
                    <xdr:col>2</xdr:col>
                    <xdr:colOff>990600</xdr:colOff>
                    <xdr:row>130</xdr:row>
                    <xdr:rowOff>9525</xdr:rowOff>
                  </from>
                  <to>
                    <xdr:col>2</xdr:col>
                    <xdr:colOff>1981200</xdr:colOff>
                    <xdr:row>130</xdr:row>
                    <xdr:rowOff>1609725</xdr:rowOff>
                  </to>
                </anchor>
              </controlPr>
            </control>
          </mc:Choice>
        </mc:AlternateContent>
        <mc:AlternateContent xmlns:mc="http://schemas.openxmlformats.org/markup-compatibility/2006">
          <mc:Choice Requires="x14">
            <control shapeId="61631" r:id="rId40" name="Check Box 191">
              <controlPr defaultSize="0" autoFill="0" autoLine="0" autoPict="0">
                <anchor moveWithCells="1">
                  <from>
                    <xdr:col>2</xdr:col>
                    <xdr:colOff>2000250</xdr:colOff>
                    <xdr:row>130</xdr:row>
                    <xdr:rowOff>9525</xdr:rowOff>
                  </from>
                  <to>
                    <xdr:col>2</xdr:col>
                    <xdr:colOff>2990850</xdr:colOff>
                    <xdr:row>130</xdr:row>
                    <xdr:rowOff>1609725</xdr:rowOff>
                  </to>
                </anchor>
              </controlPr>
            </control>
          </mc:Choice>
        </mc:AlternateContent>
        <mc:AlternateContent xmlns:mc="http://schemas.openxmlformats.org/markup-compatibility/2006">
          <mc:Choice Requires="x14">
            <control shapeId="61634" r:id="rId41" name="Check Box 194">
              <controlPr defaultSize="0" autoFill="0" autoLine="0" autoPict="0">
                <anchor moveWithCells="1">
                  <from>
                    <xdr:col>2</xdr:col>
                    <xdr:colOff>990600</xdr:colOff>
                    <xdr:row>148</xdr:row>
                    <xdr:rowOff>533400</xdr:rowOff>
                  </from>
                  <to>
                    <xdr:col>2</xdr:col>
                    <xdr:colOff>1981200</xdr:colOff>
                    <xdr:row>150</xdr:row>
                    <xdr:rowOff>0</xdr:rowOff>
                  </to>
                </anchor>
              </controlPr>
            </control>
          </mc:Choice>
        </mc:AlternateContent>
        <mc:AlternateContent xmlns:mc="http://schemas.openxmlformats.org/markup-compatibility/2006">
          <mc:Choice Requires="x14">
            <control shapeId="61635" r:id="rId42" name="Check Box 195">
              <controlPr defaultSize="0" autoFill="0" autoLine="0" autoPict="0">
                <anchor moveWithCells="1">
                  <from>
                    <xdr:col>2</xdr:col>
                    <xdr:colOff>2000250</xdr:colOff>
                    <xdr:row>148</xdr:row>
                    <xdr:rowOff>533400</xdr:rowOff>
                  </from>
                  <to>
                    <xdr:col>2</xdr:col>
                    <xdr:colOff>2990850</xdr:colOff>
                    <xdr:row>150</xdr:row>
                    <xdr:rowOff>0</xdr:rowOff>
                  </to>
                </anchor>
              </controlPr>
            </control>
          </mc:Choice>
        </mc:AlternateContent>
        <mc:AlternateContent xmlns:mc="http://schemas.openxmlformats.org/markup-compatibility/2006">
          <mc:Choice Requires="x14">
            <control shapeId="61638" r:id="rId43" name="Check Box 198">
              <controlPr defaultSize="0" autoFill="0" autoLine="0" autoPict="0">
                <anchor moveWithCells="1">
                  <from>
                    <xdr:col>2</xdr:col>
                    <xdr:colOff>990600</xdr:colOff>
                    <xdr:row>110</xdr:row>
                    <xdr:rowOff>0</xdr:rowOff>
                  </from>
                  <to>
                    <xdr:col>2</xdr:col>
                    <xdr:colOff>1981200</xdr:colOff>
                    <xdr:row>111</xdr:row>
                    <xdr:rowOff>0</xdr:rowOff>
                  </to>
                </anchor>
              </controlPr>
            </control>
          </mc:Choice>
        </mc:AlternateContent>
        <mc:AlternateContent xmlns:mc="http://schemas.openxmlformats.org/markup-compatibility/2006">
          <mc:Choice Requires="x14">
            <control shapeId="61639" r:id="rId44" name="Check Box 199">
              <controlPr defaultSize="0" autoFill="0" autoLine="0" autoPict="0">
                <anchor moveWithCells="1">
                  <from>
                    <xdr:col>2</xdr:col>
                    <xdr:colOff>2000250</xdr:colOff>
                    <xdr:row>110</xdr:row>
                    <xdr:rowOff>0</xdr:rowOff>
                  </from>
                  <to>
                    <xdr:col>2</xdr:col>
                    <xdr:colOff>2990850</xdr:colOff>
                    <xdr:row>111</xdr:row>
                    <xdr:rowOff>0</xdr:rowOff>
                  </to>
                </anchor>
              </controlPr>
            </control>
          </mc:Choice>
        </mc:AlternateContent>
        <mc:AlternateContent xmlns:mc="http://schemas.openxmlformats.org/markup-compatibility/2006">
          <mc:Choice Requires="x14">
            <control shapeId="61644" r:id="rId45" name="Check Box 204">
              <controlPr defaultSize="0" autoFill="0" autoLine="0" autoPict="0">
                <anchor moveWithCells="1">
                  <from>
                    <xdr:col>2</xdr:col>
                    <xdr:colOff>990600</xdr:colOff>
                    <xdr:row>170</xdr:row>
                    <xdr:rowOff>0</xdr:rowOff>
                  </from>
                  <to>
                    <xdr:col>2</xdr:col>
                    <xdr:colOff>1981200</xdr:colOff>
                    <xdr:row>171</xdr:row>
                    <xdr:rowOff>0</xdr:rowOff>
                  </to>
                </anchor>
              </controlPr>
            </control>
          </mc:Choice>
        </mc:AlternateContent>
        <mc:AlternateContent xmlns:mc="http://schemas.openxmlformats.org/markup-compatibility/2006">
          <mc:Choice Requires="x14">
            <control shapeId="61645" r:id="rId46" name="Check Box 205">
              <controlPr defaultSize="0" autoFill="0" autoLine="0" autoPict="0">
                <anchor moveWithCells="1">
                  <from>
                    <xdr:col>2</xdr:col>
                    <xdr:colOff>2000250</xdr:colOff>
                    <xdr:row>170</xdr:row>
                    <xdr:rowOff>0</xdr:rowOff>
                  </from>
                  <to>
                    <xdr:col>2</xdr:col>
                    <xdr:colOff>2990850</xdr:colOff>
                    <xdr:row>171</xdr:row>
                    <xdr:rowOff>0</xdr:rowOff>
                  </to>
                </anchor>
              </controlPr>
            </control>
          </mc:Choice>
        </mc:AlternateContent>
        <mc:AlternateContent xmlns:mc="http://schemas.openxmlformats.org/markup-compatibility/2006">
          <mc:Choice Requires="x14">
            <control shapeId="61646" r:id="rId47" name="Check Box 206">
              <controlPr defaultSize="0" autoFill="0" autoLine="0" autoPict="0">
                <anchor moveWithCells="1">
                  <from>
                    <xdr:col>2</xdr:col>
                    <xdr:colOff>733425</xdr:colOff>
                    <xdr:row>165</xdr:row>
                    <xdr:rowOff>9525</xdr:rowOff>
                  </from>
                  <to>
                    <xdr:col>2</xdr:col>
                    <xdr:colOff>1457325</xdr:colOff>
                    <xdr:row>165</xdr:row>
                    <xdr:rowOff>800100</xdr:rowOff>
                  </to>
                </anchor>
              </controlPr>
            </control>
          </mc:Choice>
        </mc:AlternateContent>
        <mc:AlternateContent xmlns:mc="http://schemas.openxmlformats.org/markup-compatibility/2006">
          <mc:Choice Requires="x14">
            <control shapeId="61647" r:id="rId48" name="Check Box 207">
              <controlPr defaultSize="0" autoFill="0" autoLine="0" autoPict="0">
                <anchor moveWithCells="1">
                  <from>
                    <xdr:col>2</xdr:col>
                    <xdr:colOff>1476375</xdr:colOff>
                    <xdr:row>165</xdr:row>
                    <xdr:rowOff>9525</xdr:rowOff>
                  </from>
                  <to>
                    <xdr:col>2</xdr:col>
                    <xdr:colOff>2200275</xdr:colOff>
                    <xdr:row>165</xdr:row>
                    <xdr:rowOff>800100</xdr:rowOff>
                  </to>
                </anchor>
              </controlPr>
            </control>
          </mc:Choice>
        </mc:AlternateContent>
        <mc:AlternateContent xmlns:mc="http://schemas.openxmlformats.org/markup-compatibility/2006">
          <mc:Choice Requires="x14">
            <control shapeId="61648" r:id="rId49" name="Check Box 208">
              <controlPr defaultSize="0" autoFill="0" autoLine="0" autoPict="0">
                <anchor moveWithCells="1">
                  <from>
                    <xdr:col>2</xdr:col>
                    <xdr:colOff>2219325</xdr:colOff>
                    <xdr:row>165</xdr:row>
                    <xdr:rowOff>9525</xdr:rowOff>
                  </from>
                  <to>
                    <xdr:col>2</xdr:col>
                    <xdr:colOff>2943225</xdr:colOff>
                    <xdr:row>165</xdr:row>
                    <xdr:rowOff>800100</xdr:rowOff>
                  </to>
                </anchor>
              </controlPr>
            </control>
          </mc:Choice>
        </mc:AlternateContent>
        <mc:AlternateContent xmlns:mc="http://schemas.openxmlformats.org/markup-compatibility/2006">
          <mc:Choice Requires="x14">
            <control shapeId="61653" r:id="rId50" name="Check Box 213">
              <controlPr defaultSize="0" autoFill="0" autoLine="0" autoPict="0">
                <anchor moveWithCells="1">
                  <from>
                    <xdr:col>2</xdr:col>
                    <xdr:colOff>990600</xdr:colOff>
                    <xdr:row>134</xdr:row>
                    <xdr:rowOff>9525</xdr:rowOff>
                  </from>
                  <to>
                    <xdr:col>2</xdr:col>
                    <xdr:colOff>1981200</xdr:colOff>
                    <xdr:row>135</xdr:row>
                    <xdr:rowOff>9525</xdr:rowOff>
                  </to>
                </anchor>
              </controlPr>
            </control>
          </mc:Choice>
        </mc:AlternateContent>
        <mc:AlternateContent xmlns:mc="http://schemas.openxmlformats.org/markup-compatibility/2006">
          <mc:Choice Requires="x14">
            <control shapeId="61654" r:id="rId51" name="Check Box 214">
              <controlPr defaultSize="0" autoFill="0" autoLine="0" autoPict="0">
                <anchor moveWithCells="1">
                  <from>
                    <xdr:col>2</xdr:col>
                    <xdr:colOff>2000250</xdr:colOff>
                    <xdr:row>134</xdr:row>
                    <xdr:rowOff>9525</xdr:rowOff>
                  </from>
                  <to>
                    <xdr:col>2</xdr:col>
                    <xdr:colOff>2990850</xdr:colOff>
                    <xdr:row>135</xdr:row>
                    <xdr:rowOff>9525</xdr:rowOff>
                  </to>
                </anchor>
              </controlPr>
            </control>
          </mc:Choice>
        </mc:AlternateContent>
        <mc:AlternateContent xmlns:mc="http://schemas.openxmlformats.org/markup-compatibility/2006">
          <mc:Choice Requires="x14">
            <control shapeId="61655" r:id="rId52" name="Check Box 215">
              <controlPr defaultSize="0" autoFill="0" autoLine="0" autoPict="0">
                <anchor moveWithCells="1">
                  <from>
                    <xdr:col>2</xdr:col>
                    <xdr:colOff>990600</xdr:colOff>
                    <xdr:row>22</xdr:row>
                    <xdr:rowOff>0</xdr:rowOff>
                  </from>
                  <to>
                    <xdr:col>2</xdr:col>
                    <xdr:colOff>1981200</xdr:colOff>
                    <xdr:row>23</xdr:row>
                    <xdr:rowOff>0</xdr:rowOff>
                  </to>
                </anchor>
              </controlPr>
            </control>
          </mc:Choice>
        </mc:AlternateContent>
        <mc:AlternateContent xmlns:mc="http://schemas.openxmlformats.org/markup-compatibility/2006">
          <mc:Choice Requires="x14">
            <control shapeId="61656" r:id="rId53" name="Check Box 216">
              <controlPr defaultSize="0" autoFill="0" autoLine="0" autoPict="0">
                <anchor moveWithCells="1">
                  <from>
                    <xdr:col>2</xdr:col>
                    <xdr:colOff>2000250</xdr:colOff>
                    <xdr:row>22</xdr:row>
                    <xdr:rowOff>0</xdr:rowOff>
                  </from>
                  <to>
                    <xdr:col>2</xdr:col>
                    <xdr:colOff>2990850</xdr:colOff>
                    <xdr:row>23</xdr:row>
                    <xdr:rowOff>0</xdr:rowOff>
                  </to>
                </anchor>
              </controlPr>
            </control>
          </mc:Choice>
        </mc:AlternateContent>
        <mc:AlternateContent xmlns:mc="http://schemas.openxmlformats.org/markup-compatibility/2006">
          <mc:Choice Requires="x14">
            <control shapeId="61657" r:id="rId54" name="Check Box 217">
              <controlPr defaultSize="0" autoFill="0" autoLine="0" autoPict="0">
                <anchor moveWithCells="1">
                  <from>
                    <xdr:col>2</xdr:col>
                    <xdr:colOff>990600</xdr:colOff>
                    <xdr:row>32</xdr:row>
                    <xdr:rowOff>0</xdr:rowOff>
                  </from>
                  <to>
                    <xdr:col>2</xdr:col>
                    <xdr:colOff>1981200</xdr:colOff>
                    <xdr:row>33</xdr:row>
                    <xdr:rowOff>0</xdr:rowOff>
                  </to>
                </anchor>
              </controlPr>
            </control>
          </mc:Choice>
        </mc:AlternateContent>
        <mc:AlternateContent xmlns:mc="http://schemas.openxmlformats.org/markup-compatibility/2006">
          <mc:Choice Requires="x14">
            <control shapeId="61658" r:id="rId55" name="Check Box 218">
              <controlPr defaultSize="0" autoFill="0" autoLine="0" autoPict="0">
                <anchor moveWithCells="1">
                  <from>
                    <xdr:col>2</xdr:col>
                    <xdr:colOff>2000250</xdr:colOff>
                    <xdr:row>32</xdr:row>
                    <xdr:rowOff>0</xdr:rowOff>
                  </from>
                  <to>
                    <xdr:col>2</xdr:col>
                    <xdr:colOff>2990850</xdr:colOff>
                    <xdr:row>33</xdr:row>
                    <xdr:rowOff>0</xdr:rowOff>
                  </to>
                </anchor>
              </controlPr>
            </control>
          </mc:Choice>
        </mc:AlternateContent>
        <mc:AlternateContent xmlns:mc="http://schemas.openxmlformats.org/markup-compatibility/2006">
          <mc:Choice Requires="x14">
            <control shapeId="61659" r:id="rId56" name="Check Box 219">
              <controlPr defaultSize="0" autoFill="0" autoLine="0" autoPict="0">
                <anchor moveWithCells="1">
                  <from>
                    <xdr:col>2</xdr:col>
                    <xdr:colOff>990600</xdr:colOff>
                    <xdr:row>72</xdr:row>
                    <xdr:rowOff>9525</xdr:rowOff>
                  </from>
                  <to>
                    <xdr:col>2</xdr:col>
                    <xdr:colOff>1981200</xdr:colOff>
                    <xdr:row>73</xdr:row>
                    <xdr:rowOff>9525</xdr:rowOff>
                  </to>
                </anchor>
              </controlPr>
            </control>
          </mc:Choice>
        </mc:AlternateContent>
        <mc:AlternateContent xmlns:mc="http://schemas.openxmlformats.org/markup-compatibility/2006">
          <mc:Choice Requires="x14">
            <control shapeId="61660" r:id="rId57" name="Check Box 220">
              <controlPr defaultSize="0" autoFill="0" autoLine="0" autoPict="0">
                <anchor moveWithCells="1">
                  <from>
                    <xdr:col>2</xdr:col>
                    <xdr:colOff>2000250</xdr:colOff>
                    <xdr:row>72</xdr:row>
                    <xdr:rowOff>9525</xdr:rowOff>
                  </from>
                  <to>
                    <xdr:col>2</xdr:col>
                    <xdr:colOff>2990850</xdr:colOff>
                    <xdr:row>73</xdr:row>
                    <xdr:rowOff>9525</xdr:rowOff>
                  </to>
                </anchor>
              </controlPr>
            </control>
          </mc:Choice>
        </mc:AlternateContent>
        <mc:AlternateContent xmlns:mc="http://schemas.openxmlformats.org/markup-compatibility/2006">
          <mc:Choice Requires="x14">
            <control shapeId="61672" r:id="rId58" name="Check Box 232">
              <controlPr defaultSize="0" autoFill="0" autoLine="0" autoPict="0">
                <anchor moveWithCells="1">
                  <from>
                    <xdr:col>2</xdr:col>
                    <xdr:colOff>990600</xdr:colOff>
                    <xdr:row>113</xdr:row>
                    <xdr:rowOff>0</xdr:rowOff>
                  </from>
                  <to>
                    <xdr:col>2</xdr:col>
                    <xdr:colOff>1981200</xdr:colOff>
                    <xdr:row>114</xdr:row>
                    <xdr:rowOff>0</xdr:rowOff>
                  </to>
                </anchor>
              </controlPr>
            </control>
          </mc:Choice>
        </mc:AlternateContent>
        <mc:AlternateContent xmlns:mc="http://schemas.openxmlformats.org/markup-compatibility/2006">
          <mc:Choice Requires="x14">
            <control shapeId="61673" r:id="rId59" name="Check Box 233">
              <controlPr defaultSize="0" autoFill="0" autoLine="0" autoPict="0">
                <anchor moveWithCells="1">
                  <from>
                    <xdr:col>2</xdr:col>
                    <xdr:colOff>2000250</xdr:colOff>
                    <xdr:row>113</xdr:row>
                    <xdr:rowOff>0</xdr:rowOff>
                  </from>
                  <to>
                    <xdr:col>2</xdr:col>
                    <xdr:colOff>2990850</xdr:colOff>
                    <xdr:row>114</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AL116"/>
  <sheetViews>
    <sheetView showGridLines="0" showRowColHeaders="0" zoomScaleNormal="100" workbookViewId="0">
      <pane ySplit="6" topLeftCell="A7" activePane="bottomLeft" state="frozen"/>
      <selection pane="bottomLeft" activeCell="G9" sqref="G9"/>
    </sheetView>
  </sheetViews>
  <sheetFormatPr defaultColWidth="9.140625" defaultRowHeight="12.75" x14ac:dyDescent="0.2"/>
  <cols>
    <col min="1" max="1" width="9.140625" style="19"/>
    <col min="2" max="2" width="50.7109375" style="19" customWidth="1"/>
    <col min="3" max="3" width="25.7109375" style="19" customWidth="1"/>
    <col min="4" max="4" width="25.7109375" style="22" customWidth="1"/>
    <col min="5" max="5" width="25.7109375" style="18" customWidth="1"/>
    <col min="6" max="7" width="25.7109375" style="19" customWidth="1"/>
    <col min="8" max="8" width="12.7109375" style="19" customWidth="1"/>
    <col min="9" max="10" width="30.7109375" style="19" customWidth="1"/>
    <col min="11" max="11" width="9.140625" style="19" hidden="1" customWidth="1"/>
    <col min="12" max="12" width="14.85546875" style="19" hidden="1" customWidth="1"/>
    <col min="13" max="13" width="9.140625" style="19" hidden="1" customWidth="1"/>
    <col min="14" max="19" width="20.7109375" style="19" hidden="1" customWidth="1"/>
    <col min="20" max="20" width="11.42578125" style="32" hidden="1" customWidth="1"/>
    <col min="21" max="23" width="9.140625" style="19" hidden="1" customWidth="1"/>
    <col min="24" max="24" width="11.7109375" style="19" hidden="1" customWidth="1"/>
    <col min="25" max="38" width="9.140625" style="19" hidden="1" customWidth="1"/>
    <col min="39" max="39" width="9.140625" style="19" customWidth="1"/>
    <col min="40" max="16384" width="9.140625" style="19"/>
  </cols>
  <sheetData>
    <row r="1" spans="1:29" ht="12.75" customHeight="1" x14ac:dyDescent="0.2">
      <c r="A1" s="27"/>
      <c r="B1" s="30"/>
      <c r="C1" s="30"/>
      <c r="D1" s="31"/>
      <c r="E1" s="29"/>
      <c r="F1" s="30"/>
      <c r="G1" s="30"/>
      <c r="H1" s="27"/>
    </row>
    <row r="2" spans="1:29" ht="12.75" customHeight="1" x14ac:dyDescent="0.2">
      <c r="A2" s="27"/>
      <c r="B2" s="27"/>
      <c r="C2" s="27"/>
      <c r="D2" s="28"/>
      <c r="F2" s="27"/>
      <c r="G2" s="27"/>
      <c r="H2" s="27"/>
    </row>
    <row r="3" spans="1:29" ht="12.75" customHeight="1" x14ac:dyDescent="0.2">
      <c r="A3" s="27"/>
      <c r="B3" s="27"/>
      <c r="C3" s="27"/>
      <c r="D3" s="28"/>
      <c r="F3" s="27"/>
      <c r="G3" s="27"/>
    </row>
    <row r="4" spans="1:29" ht="12.75" customHeight="1" x14ac:dyDescent="0.2">
      <c r="A4" s="27"/>
      <c r="B4" s="27"/>
      <c r="C4" s="27"/>
      <c r="D4" s="28"/>
      <c r="F4" s="27"/>
      <c r="G4" s="27"/>
    </row>
    <row r="5" spans="1:29" ht="12.75" customHeight="1" x14ac:dyDescent="0.2">
      <c r="A5" s="27"/>
      <c r="B5" s="27"/>
      <c r="C5" s="27"/>
      <c r="D5" s="28"/>
      <c r="F5" s="27"/>
      <c r="G5" s="27"/>
    </row>
    <row r="6" spans="1:29" ht="12.75" customHeight="1" x14ac:dyDescent="0.2">
      <c r="A6" s="27"/>
      <c r="B6" s="27"/>
      <c r="C6" s="27"/>
      <c r="D6" s="28"/>
      <c r="F6" s="27"/>
      <c r="G6" s="27"/>
    </row>
    <row r="7" spans="1:29" ht="15.95" customHeight="1" thickBot="1" x14ac:dyDescent="0.25">
      <c r="A7" s="27"/>
      <c r="B7" s="27"/>
      <c r="C7" s="27"/>
      <c r="D7" s="28"/>
      <c r="F7" s="27"/>
      <c r="G7" s="27"/>
    </row>
    <row r="8" spans="1:29" s="34" customFormat="1" ht="39.950000000000003" customHeight="1" thickBot="1" x14ac:dyDescent="0.25">
      <c r="B8" s="669" t="s">
        <v>799</v>
      </c>
      <c r="C8" s="697"/>
      <c r="D8" s="697"/>
      <c r="E8" s="697"/>
      <c r="F8" s="698"/>
      <c r="G8" s="600" t="s">
        <v>347</v>
      </c>
      <c r="H8" s="19"/>
      <c r="K8" s="19"/>
      <c r="L8" s="19"/>
      <c r="T8" s="170"/>
    </row>
    <row r="9" spans="1:29" ht="39.950000000000003" customHeight="1" x14ac:dyDescent="0.2">
      <c r="B9" s="699" t="s">
        <v>800</v>
      </c>
      <c r="C9" s="700"/>
      <c r="D9" s="700"/>
      <c r="E9" s="700"/>
      <c r="F9" s="700"/>
      <c r="G9" s="193"/>
      <c r="H9" s="100" t="str">
        <f>IF(M9=1,"*","")</f>
        <v>*</v>
      </c>
      <c r="I9" s="68"/>
      <c r="J9" s="68"/>
      <c r="M9" s="32">
        <f>IF(ISNUMBER(G9)=TRUE,0,1)+IF((N9+N20+U36)=3,1,0)</f>
        <v>1</v>
      </c>
      <c r="N9" s="32">
        <f>IF(G9="",0,IF(VLOOKUP(G9,Control!$AJ$2:$AK$14,2,FALSE)=0,1,0))</f>
        <v>0</v>
      </c>
      <c r="T9" s="19"/>
      <c r="V9" s="20"/>
    </row>
    <row r="10" spans="1:29" ht="63.95" customHeight="1" thickBot="1" x14ac:dyDescent="0.25">
      <c r="B10" s="701" t="s">
        <v>801</v>
      </c>
      <c r="C10" s="702"/>
      <c r="D10" s="702"/>
      <c r="E10" s="702"/>
      <c r="F10" s="702"/>
      <c r="G10" s="703"/>
      <c r="H10" s="27"/>
      <c r="I10" s="68"/>
      <c r="J10" s="68"/>
      <c r="M10" s="68"/>
      <c r="AC10" s="20"/>
    </row>
    <row r="11" spans="1:29" ht="39.950000000000003" customHeight="1" thickBot="1" x14ac:dyDescent="0.25">
      <c r="B11" s="597" t="s">
        <v>608</v>
      </c>
      <c r="C11" s="601" t="s">
        <v>609</v>
      </c>
      <c r="D11" s="598" t="s">
        <v>343</v>
      </c>
      <c r="E11" s="598" t="s">
        <v>805</v>
      </c>
      <c r="F11" s="598" t="s">
        <v>445</v>
      </c>
      <c r="G11" s="599" t="s">
        <v>741</v>
      </c>
      <c r="H11" s="23"/>
      <c r="M11" s="474" t="s">
        <v>556</v>
      </c>
      <c r="N11" s="167" t="s">
        <v>608</v>
      </c>
      <c r="O11" s="165" t="s">
        <v>609</v>
      </c>
      <c r="P11" s="166" t="s">
        <v>343</v>
      </c>
      <c r="Q11" s="166" t="s">
        <v>805</v>
      </c>
      <c r="R11" s="168" t="s">
        <v>445</v>
      </c>
      <c r="S11" s="169" t="s">
        <v>741</v>
      </c>
      <c r="X11" s="32"/>
      <c r="AC11" s="20"/>
    </row>
    <row r="12" spans="1:29" s="20" customFormat="1" ht="32.1" customHeight="1" x14ac:dyDescent="0.2">
      <c r="B12" s="187"/>
      <c r="C12" s="188"/>
      <c r="D12" s="189"/>
      <c r="E12" s="540"/>
      <c r="F12" s="190"/>
      <c r="G12" s="191"/>
      <c r="H12" s="100" t="str">
        <f>IF(M12=1,"*","")</f>
        <v/>
      </c>
      <c r="I12" s="129" t="str">
        <f>IF((V12&amp;" "&amp;W12)="TRUE TRUE","Please select only one option from the Beneficial Ownership column","")</f>
        <v/>
      </c>
      <c r="K12" s="19"/>
      <c r="L12" s="19"/>
      <c r="M12" s="20">
        <f>IF(G9&gt;=1,IF(SUM(N12:S12)&lt;&gt;0,1,0),0)</f>
        <v>0</v>
      </c>
      <c r="N12" s="32">
        <f>IF(ISTEXT(B12)=TRUE,0,1)</f>
        <v>1</v>
      </c>
      <c r="O12" s="32">
        <f>IF(ISERROR(EXACT(VLOOKUP(C12,SPM,1,FALSE),C12)),1,0)</f>
        <v>1</v>
      </c>
      <c r="P12" s="32">
        <f t="shared" ref="P12:Q15" si="0">IF(ISNUMBER(D12)=TRUE,0,1)</f>
        <v>1</v>
      </c>
      <c r="Q12" s="32">
        <f t="shared" si="0"/>
        <v>1</v>
      </c>
      <c r="R12" s="32">
        <f>IF(X12="Yes",0,IF(X12="No",0,1))+IF(X12="No",IF(AA12="No",1,0))</f>
        <v>1</v>
      </c>
      <c r="S12" s="32">
        <f>IF(X12="Yes",0,IF(AA12="Yes",0,IF(AA12="No",0,1)))+IF(AA12="Invalid Input",1,0)</f>
        <v>1</v>
      </c>
      <c r="T12" s="32"/>
      <c r="U12" s="32" t="str">
        <f>IF(G9="","",IF(G9&gt;=1,0,1))</f>
        <v/>
      </c>
      <c r="V12" s="78" t="b">
        <v>0</v>
      </c>
      <c r="W12" s="78" t="b">
        <v>0</v>
      </c>
      <c r="X12" s="32">
        <f>IF((V12&amp;" "&amp;W12)="TRUE FALSE","Yes",IF((V12&amp;" "&amp;W12)="FALSE TRUE","No",IF((V12&amp;" "&amp;W12)="TRUE TRUE","Invalid Input",1)))</f>
        <v>1</v>
      </c>
      <c r="Y12" s="78" t="b">
        <v>0</v>
      </c>
      <c r="Z12" s="78" t="b">
        <v>0</v>
      </c>
      <c r="AA12" s="32">
        <f>IF((Y12&amp;" "&amp;Z12)="TRUE FALSE","Yes",IF((Y12&amp;" "&amp;Z12)="FALSE TRUE","No",IF((Y12&amp;" "&amp;Z12)="TRUE TRUE","Invalid Input",1)))</f>
        <v>1</v>
      </c>
    </row>
    <row r="13" spans="1:29" s="20" customFormat="1" ht="32.1" customHeight="1" x14ac:dyDescent="0.2">
      <c r="B13" s="171"/>
      <c r="C13" s="172"/>
      <c r="D13" s="173"/>
      <c r="E13" s="541"/>
      <c r="F13" s="174"/>
      <c r="G13" s="175"/>
      <c r="H13" s="100" t="str">
        <f>IF(M13=1,"*","")</f>
        <v/>
      </c>
      <c r="I13" s="129" t="str">
        <f>IF((V13&amp;" "&amp;W13)="TRUE TRUE","Please select only one option from the Beneficial Ownership column","")</f>
        <v/>
      </c>
      <c r="K13" s="19"/>
      <c r="L13" s="19"/>
      <c r="M13" s="20">
        <f>IF(G9&gt;=2,IF(SUM(N13:S13)&lt;&gt;0,1,0),0)</f>
        <v>0</v>
      </c>
      <c r="N13" s="32">
        <f>IF(ISTEXT(B13)=TRUE,0,1)</f>
        <v>1</v>
      </c>
      <c r="O13" s="32">
        <f>IF(ISERROR(EXACT(VLOOKUP(C13,SPM,1,FALSE),C13)),1,0)</f>
        <v>1</v>
      </c>
      <c r="P13" s="32">
        <f t="shared" si="0"/>
        <v>1</v>
      </c>
      <c r="Q13" s="32">
        <f t="shared" si="0"/>
        <v>1</v>
      </c>
      <c r="R13" s="32">
        <f>IF(X13="Yes",0,IF(X13="No",0,1))</f>
        <v>1</v>
      </c>
      <c r="S13" s="32">
        <f>IF(AA13="Yes",0,IF(AA13="No",0,1))</f>
        <v>1</v>
      </c>
      <c r="T13" s="32"/>
      <c r="U13" s="32" t="str">
        <f>IF(G9="","",IF(G9&gt;=2,0,1))</f>
        <v/>
      </c>
      <c r="V13" s="78" t="b">
        <v>0</v>
      </c>
      <c r="W13" s="78" t="b">
        <v>0</v>
      </c>
      <c r="X13" s="32">
        <f>IF((V13&amp;" "&amp;W13)="TRUE FALSE","Yes",IF((V13&amp;" "&amp;W13)="FALSE TRUE","No",IF((V13&amp;" "&amp;W13)="TRUE TRUE","Invalid Input",1)))</f>
        <v>1</v>
      </c>
      <c r="Y13" s="78" t="b">
        <v>0</v>
      </c>
      <c r="Z13" s="78" t="b">
        <v>0</v>
      </c>
      <c r="AA13" s="32">
        <f>IF((Y13&amp;" "&amp;Z13)="TRUE FALSE","Yes",IF((Y13&amp;" "&amp;Z13)="FALSE TRUE","No",IF((Y13&amp;" "&amp;Z13)="TRUE TRUE","Invalid Input",1)))</f>
        <v>1</v>
      </c>
    </row>
    <row r="14" spans="1:29" s="20" customFormat="1" ht="32.1" customHeight="1" x14ac:dyDescent="0.2">
      <c r="B14" s="171"/>
      <c r="C14" s="172"/>
      <c r="D14" s="173"/>
      <c r="E14" s="541"/>
      <c r="F14" s="174"/>
      <c r="G14" s="175"/>
      <c r="H14" s="100" t="str">
        <f>IF(M14=1,"*","")</f>
        <v/>
      </c>
      <c r="I14" s="129" t="str">
        <f>IF((V14&amp;" "&amp;W14)="TRUE TRUE","Please select only one option from the Beneficial Ownership column","")</f>
        <v/>
      </c>
      <c r="K14" s="19"/>
      <c r="L14" s="19"/>
      <c r="M14" s="20">
        <f>IF(G9&gt;=3,IF(SUM(N14:S14)&lt;&gt;0,1,0),0)</f>
        <v>0</v>
      </c>
      <c r="N14" s="32">
        <f>IF(ISTEXT(B14)=TRUE,0,1)</f>
        <v>1</v>
      </c>
      <c r="O14" s="32">
        <f>IF(ISERROR(EXACT(VLOOKUP(C14,SPM,1,FALSE),C14)),1,0)</f>
        <v>1</v>
      </c>
      <c r="P14" s="32">
        <f t="shared" si="0"/>
        <v>1</v>
      </c>
      <c r="Q14" s="32">
        <f t="shared" si="0"/>
        <v>1</v>
      </c>
      <c r="R14" s="32">
        <f>IF(X14="Yes",0,IF(X14="No",0,1))</f>
        <v>1</v>
      </c>
      <c r="S14" s="32">
        <f>IF(AA14="Yes",0,IF(AA14="No",0,1))</f>
        <v>1</v>
      </c>
      <c r="T14" s="32"/>
      <c r="U14" s="32" t="str">
        <f>IF(G9="","",IF(G9&gt;=3,0,1))</f>
        <v/>
      </c>
      <c r="V14" s="78" t="b">
        <v>0</v>
      </c>
      <c r="W14" s="78" t="b">
        <v>0</v>
      </c>
      <c r="X14" s="32">
        <f>IF((V14&amp;" "&amp;W14)="TRUE FALSE","Yes",IF((V14&amp;" "&amp;W14)="FALSE TRUE","No",IF((V14&amp;" "&amp;W14)="TRUE TRUE","Invalid Input",1)))</f>
        <v>1</v>
      </c>
      <c r="Y14" s="78" t="b">
        <v>0</v>
      </c>
      <c r="Z14" s="78" t="b">
        <v>0</v>
      </c>
      <c r="AA14" s="32">
        <f>IF((Y14&amp;" "&amp;Z14)="TRUE FALSE","Yes",IF((Y14&amp;" "&amp;Z14)="FALSE TRUE","No",IF((Y14&amp;" "&amp;Z14)="TRUE TRUE","Invalid Input",1)))</f>
        <v>1</v>
      </c>
    </row>
    <row r="15" spans="1:29" s="20" customFormat="1" ht="32.1" customHeight="1" thickBot="1" x14ac:dyDescent="0.25">
      <c r="B15" s="176"/>
      <c r="C15" s="177"/>
      <c r="D15" s="178"/>
      <c r="E15" s="542"/>
      <c r="F15" s="179"/>
      <c r="G15" s="180"/>
      <c r="H15" s="100" t="str">
        <f>IF(M15=1,"*","")</f>
        <v/>
      </c>
      <c r="I15" s="129" t="str">
        <f>IF((V15&amp;" "&amp;W15)="TRUE TRUE","Please select only one option from the Beneficial Ownership column","")</f>
        <v/>
      </c>
      <c r="K15" s="19"/>
      <c r="L15" s="19"/>
      <c r="M15" s="20">
        <f>IF(G9&gt;=4,IF(SUM(N15:S15)&lt;&gt;0,1,0),0)</f>
        <v>0</v>
      </c>
      <c r="N15" s="32">
        <f>IF(ISTEXT(B15)=TRUE,0,1)</f>
        <v>1</v>
      </c>
      <c r="O15" s="32">
        <f>IF(ISERROR(EXACT(VLOOKUP(C15,SPM,1,FALSE),C15)),1,0)</f>
        <v>1</v>
      </c>
      <c r="P15" s="32">
        <f t="shared" si="0"/>
        <v>1</v>
      </c>
      <c r="Q15" s="32">
        <f t="shared" si="0"/>
        <v>1</v>
      </c>
      <c r="R15" s="32">
        <f>IF(X15="Yes",0,IF(X15="No",0,1))</f>
        <v>1</v>
      </c>
      <c r="S15" s="32">
        <f>IF(AA15="Yes",0,IF(AA15="No",0,1))</f>
        <v>1</v>
      </c>
      <c r="T15" s="32"/>
      <c r="U15" s="32" t="str">
        <f>IF(G9="","",IF(G9&gt;=4,0,1))</f>
        <v/>
      </c>
      <c r="V15" s="78" t="b">
        <v>0</v>
      </c>
      <c r="W15" s="78" t="b">
        <v>0</v>
      </c>
      <c r="X15" s="32">
        <f>IF((V15&amp;" "&amp;W15)="TRUE FALSE","Yes",IF((V15&amp;" "&amp;W15)="FALSE TRUE","No",IF((V15&amp;" "&amp;W15)="TRUE TRUE","Invalid Input",1)))</f>
        <v>1</v>
      </c>
      <c r="Y15" s="78" t="b">
        <v>0</v>
      </c>
      <c r="Z15" s="78" t="b">
        <v>0</v>
      </c>
      <c r="AA15" s="32">
        <f>IF((Y15&amp;" "&amp;Z15)="TRUE FALSE","Yes",IF((Y15&amp;" "&amp;Z15)="FALSE TRUE","No",IF((Y15&amp;" "&amp;Z15)="TRUE TRUE","Invalid Input",1)))</f>
        <v>1</v>
      </c>
    </row>
    <row r="16" spans="1:29" s="20" customFormat="1" ht="15.95" customHeight="1" x14ac:dyDescent="0.2">
      <c r="B16" s="159"/>
      <c r="C16" s="159"/>
      <c r="D16" s="22"/>
      <c r="E16" s="50"/>
      <c r="F16" s="54"/>
      <c r="G16" s="54"/>
      <c r="H16" s="100"/>
      <c r="J16" s="11"/>
      <c r="K16" s="19"/>
      <c r="L16" s="19"/>
      <c r="T16" s="32"/>
    </row>
    <row r="17" spans="1:27" s="20" customFormat="1" ht="15.95" customHeight="1" x14ac:dyDescent="0.2">
      <c r="B17" s="217"/>
      <c r="C17" s="223"/>
      <c r="D17" s="285" t="str">
        <f>IF(SUM(D12:D15)&gt;1,"Total percentage holdings exceeds 100%","")</f>
        <v/>
      </c>
      <c r="E17" s="223"/>
      <c r="F17" s="711"/>
      <c r="G17" s="711"/>
      <c r="H17" s="100"/>
      <c r="K17" s="19"/>
      <c r="L17" s="69" t="s">
        <v>667</v>
      </c>
      <c r="M17" s="38" t="str">
        <f>IF(SUM(M9,M12:M16)&lt;&gt;0,"Invalid","Valid")</f>
        <v>Invalid</v>
      </c>
    </row>
    <row r="18" spans="1:27" s="20" customFormat="1" ht="15.95" customHeight="1" thickBot="1" x14ac:dyDescent="0.25">
      <c r="B18" s="26"/>
      <c r="C18" s="55"/>
      <c r="D18" s="55"/>
      <c r="E18" s="160"/>
      <c r="F18" s="714"/>
      <c r="G18" s="714"/>
      <c r="H18" s="100"/>
      <c r="K18" s="19"/>
      <c r="L18" s="19"/>
      <c r="T18" s="32"/>
    </row>
    <row r="19" spans="1:27" s="20" customFormat="1" ht="39.950000000000003" customHeight="1" thickBot="1" x14ac:dyDescent="0.25">
      <c r="B19" s="669" t="s">
        <v>802</v>
      </c>
      <c r="C19" s="697"/>
      <c r="D19" s="697"/>
      <c r="E19" s="697"/>
      <c r="F19" s="698"/>
      <c r="G19" s="600" t="s">
        <v>347</v>
      </c>
      <c r="H19" s="41"/>
      <c r="K19" s="19"/>
      <c r="L19" s="19"/>
      <c r="T19" s="32"/>
    </row>
    <row r="20" spans="1:27" ht="39.950000000000003" customHeight="1" x14ac:dyDescent="0.2">
      <c r="A20" s="27"/>
      <c r="B20" s="699" t="s">
        <v>803</v>
      </c>
      <c r="C20" s="718"/>
      <c r="D20" s="718"/>
      <c r="E20" s="718"/>
      <c r="F20" s="718"/>
      <c r="G20" s="193"/>
      <c r="H20" s="100" t="str">
        <f>IF(M20=1,"*","")</f>
        <v>*</v>
      </c>
      <c r="M20" s="32">
        <f>IF(ISNUMBER(G20)=TRUE,0,1)+IF((N9+N20+U36)=3,1,0)</f>
        <v>1</v>
      </c>
      <c r="N20" s="32">
        <f>IF(G20="",0,IF(VLOOKUP(G20,Control!$AJ$2:$AK$14,2,FALSE)=0,1,0))</f>
        <v>0</v>
      </c>
      <c r="T20" s="19"/>
    </row>
    <row r="21" spans="1:27" ht="63.95" customHeight="1" thickBot="1" x14ac:dyDescent="0.25">
      <c r="A21" s="27"/>
      <c r="B21" s="715" t="s">
        <v>804</v>
      </c>
      <c r="C21" s="716"/>
      <c r="D21" s="716"/>
      <c r="E21" s="716"/>
      <c r="F21" s="716"/>
      <c r="G21" s="717"/>
      <c r="H21" s="81"/>
    </row>
    <row r="22" spans="1:27" ht="39.950000000000003" customHeight="1" thickBot="1" x14ac:dyDescent="0.25">
      <c r="A22" s="27"/>
      <c r="B22" s="597" t="s">
        <v>693</v>
      </c>
      <c r="C22" s="598" t="s">
        <v>609</v>
      </c>
      <c r="D22" s="598" t="s">
        <v>344</v>
      </c>
      <c r="E22" s="598" t="s">
        <v>805</v>
      </c>
      <c r="F22" s="598" t="s">
        <v>445</v>
      </c>
      <c r="G22" s="599" t="s">
        <v>741</v>
      </c>
      <c r="H22" s="94"/>
      <c r="M22" s="474" t="s">
        <v>556</v>
      </c>
      <c r="N22" s="182" t="s">
        <v>594</v>
      </c>
      <c r="O22" s="166" t="s">
        <v>446</v>
      </c>
      <c r="P22" s="166" t="s">
        <v>343</v>
      </c>
      <c r="Q22" s="166" t="s">
        <v>805</v>
      </c>
      <c r="R22" s="168" t="s">
        <v>445</v>
      </c>
      <c r="S22" s="169" t="s">
        <v>741</v>
      </c>
      <c r="T22" s="181" t="s">
        <v>556</v>
      </c>
      <c r="X22" s="32"/>
    </row>
    <row r="23" spans="1:27" ht="32.1" customHeight="1" x14ac:dyDescent="0.25">
      <c r="A23" s="27"/>
      <c r="B23" s="187"/>
      <c r="C23" s="188"/>
      <c r="D23" s="189"/>
      <c r="E23" s="580"/>
      <c r="F23" s="543"/>
      <c r="G23" s="194"/>
      <c r="H23" s="100" t="str">
        <f>IF(T23=1,"*","")</f>
        <v/>
      </c>
      <c r="I23" s="129" t="str">
        <f>IF((V23&amp;" "&amp;W23)="TRUE TRUE","Please select only one option from the Beneficial Ownership column","")</f>
        <v/>
      </c>
      <c r="J23"/>
      <c r="M23" s="19">
        <f>IF(G20&gt;=1,IF(SUM(N23:S23)&lt;&gt;0,1,0),0)</f>
        <v>0</v>
      </c>
      <c r="N23" s="32">
        <f>IF(ISTEXT(B23)=TRUE,0,1)</f>
        <v>1</v>
      </c>
      <c r="O23" s="32">
        <f>IF(ISERROR(EXACT(VLOOKUP(C23,SPM,1,FALSE),C23)),1,0)</f>
        <v>1</v>
      </c>
      <c r="P23" s="32">
        <f t="shared" ref="P23:Q26" si="1">IF(ISNUMBER(D23)=TRUE,0,1)</f>
        <v>1</v>
      </c>
      <c r="Q23" s="32">
        <f t="shared" si="1"/>
        <v>1</v>
      </c>
      <c r="R23" s="32">
        <f>IF(X23="Yes",0,IF(X23="No",0,1))+IF(X23="No",IF(AA23="No",1,0))</f>
        <v>1</v>
      </c>
      <c r="S23" s="32">
        <f>IF(X23="Yes",0,IF(AA23="Yes",0,IF(AA23="No",0,1)))+IF(AA23="Invalid Input",1,0)</f>
        <v>1</v>
      </c>
      <c r="T23" s="32">
        <f>IF(G20&gt;=1,IF(SUM(N23:S23)&lt;&gt;0,1,0),0)</f>
        <v>0</v>
      </c>
      <c r="U23" s="32" t="str">
        <f>IF(G20="","",IF(G20&gt;=1,0,1))</f>
        <v/>
      </c>
      <c r="V23" s="78" t="b">
        <v>0</v>
      </c>
      <c r="W23" s="78" t="b">
        <v>0</v>
      </c>
      <c r="X23" s="32">
        <f>IF((V23&amp;" "&amp;W23)="TRUE FALSE","Yes",IF((V23&amp;" "&amp;W23)="FALSE TRUE","No",IF((V23&amp;" "&amp;W23)="TRUE TRUE","Invalid Input",1)))</f>
        <v>1</v>
      </c>
      <c r="Y23" s="78" t="b">
        <v>0</v>
      </c>
      <c r="Z23" s="78" t="b">
        <v>0</v>
      </c>
      <c r="AA23" s="32">
        <f>IF((Y23&amp;" "&amp;Z23)="TRUE FALSE","Yes",IF((Y23&amp;" "&amp;Z23)="FALSE TRUE","No",IF((Y23&amp;" "&amp;Z23)="TRUE TRUE","Invalid Input",1)))</f>
        <v>1</v>
      </c>
    </row>
    <row r="24" spans="1:27" ht="32.1" customHeight="1" x14ac:dyDescent="0.25">
      <c r="A24" s="27"/>
      <c r="B24" s="171"/>
      <c r="C24" s="188"/>
      <c r="D24" s="173"/>
      <c r="E24" s="581"/>
      <c r="F24" s="183"/>
      <c r="G24" s="184"/>
      <c r="H24" s="100" t="str">
        <f>IF(T24=1,"*","")</f>
        <v/>
      </c>
      <c r="I24" s="129" t="str">
        <f>IF((V24&amp;" "&amp;W24)="TRUE TRUE","Please select only one option from the Benefical ownership column","")</f>
        <v/>
      </c>
      <c r="J24"/>
      <c r="M24" s="19">
        <f>IF(G20&gt;=2,IF(SUM(N24:S24)&lt;&gt;0,1,0),0)</f>
        <v>0</v>
      </c>
      <c r="N24" s="32">
        <f>IF(ISTEXT(B24)=TRUE,0,1)</f>
        <v>1</v>
      </c>
      <c r="O24" s="32">
        <f>IF(ISERROR(EXACT(VLOOKUP(C24,SPM,1,FALSE),C24)),1,0)</f>
        <v>1</v>
      </c>
      <c r="P24" s="32">
        <f t="shared" si="1"/>
        <v>1</v>
      </c>
      <c r="Q24" s="32">
        <f t="shared" si="1"/>
        <v>1</v>
      </c>
      <c r="R24" s="32">
        <f>IF(X24="Yes",0,IF(X24="No",0,1))</f>
        <v>1</v>
      </c>
      <c r="S24" s="32">
        <f>IF(AA24="Yes",0,IF(AA24="No",0,1))</f>
        <v>1</v>
      </c>
      <c r="T24" s="32">
        <f>IF(G20&gt;=2,IF(SUM(N24:S24)&lt;&gt;0,1,0),0)</f>
        <v>0</v>
      </c>
      <c r="U24" s="32" t="str">
        <f>IF(G20="","",IF(G20&gt;=2,0,1))</f>
        <v/>
      </c>
      <c r="V24" s="78" t="b">
        <v>0</v>
      </c>
      <c r="W24" s="78" t="b">
        <v>0</v>
      </c>
      <c r="X24" s="32">
        <f>IF((V24&amp;" "&amp;W24)="TRUE FALSE","Yes",IF((V24&amp;" "&amp;W24)="FALSE TRUE","No",IF((V24&amp;" "&amp;W24)="TRUE TRUE","Invalid Input",1)))</f>
        <v>1</v>
      </c>
      <c r="Y24" s="78" t="b">
        <v>0</v>
      </c>
      <c r="Z24" s="78" t="b">
        <v>0</v>
      </c>
      <c r="AA24" s="32">
        <f>IF((Y24&amp;" "&amp;Z24)="TRUE FALSE","Yes",IF((Y24&amp;" "&amp;Z24)="FALSE TRUE","No",IF((Y24&amp;" "&amp;Z24)="TRUE TRUE","Invalid Input",1)))</f>
        <v>1</v>
      </c>
    </row>
    <row r="25" spans="1:27" ht="32.1" customHeight="1" x14ac:dyDescent="0.25">
      <c r="B25" s="171"/>
      <c r="C25" s="172"/>
      <c r="D25" s="173"/>
      <c r="E25" s="581"/>
      <c r="F25" s="183"/>
      <c r="G25" s="184"/>
      <c r="H25" s="100" t="str">
        <f>IF(T25=1,"*","")</f>
        <v/>
      </c>
      <c r="I25" s="129" t="str">
        <f>IF((V25&amp;" "&amp;W25)="TRUE TRUE","Please select only one option from the Benefical ownership column","")</f>
        <v/>
      </c>
      <c r="J25"/>
      <c r="M25" s="19">
        <f>IF(G20&gt;=3,IF(SUM(N25:S25)&lt;&gt;0,1,0),0)</f>
        <v>0</v>
      </c>
      <c r="N25" s="32">
        <f>IF(ISTEXT(B25)=TRUE,0,1)</f>
        <v>1</v>
      </c>
      <c r="O25" s="32">
        <f>IF(ISERROR(EXACT(VLOOKUP(C25,SPM,1,FALSE),C25)),1,0)</f>
        <v>1</v>
      </c>
      <c r="P25" s="32">
        <f t="shared" si="1"/>
        <v>1</v>
      </c>
      <c r="Q25" s="32">
        <f t="shared" si="1"/>
        <v>1</v>
      </c>
      <c r="R25" s="32">
        <f>IF(X25="Yes",0,IF(X25="No",0,1))</f>
        <v>1</v>
      </c>
      <c r="S25" s="32">
        <f>IF(AA25="Yes",0,IF(AA25="No",0,1))</f>
        <v>1</v>
      </c>
      <c r="T25" s="32">
        <f>IF(G20&gt;=3,IF(SUM(N25:S25)&lt;&gt;0,1,0),0)</f>
        <v>0</v>
      </c>
      <c r="U25" s="32" t="str">
        <f>IF(G20="","",IF(G20&gt;=3,0,1))</f>
        <v/>
      </c>
      <c r="V25" s="78" t="b">
        <v>0</v>
      </c>
      <c r="W25" s="78" t="b">
        <v>0</v>
      </c>
      <c r="X25" s="32">
        <f>IF((V25&amp;" "&amp;W25)="TRUE FALSE","Yes",IF((V25&amp;" "&amp;W25)="FALSE TRUE","No",IF((V25&amp;" "&amp;W25)="TRUE TRUE","Invalid Input",1)))</f>
        <v>1</v>
      </c>
      <c r="Y25" s="78" t="b">
        <v>0</v>
      </c>
      <c r="Z25" s="78" t="b">
        <v>0</v>
      </c>
      <c r="AA25" s="32">
        <f>IF((Y25&amp;" "&amp;Z25)="TRUE FALSE","Yes",IF((Y25&amp;" "&amp;Z25)="FALSE TRUE","No",IF((Y25&amp;" "&amp;Z25)="TRUE TRUE","Invalid Input",1)))</f>
        <v>1</v>
      </c>
    </row>
    <row r="26" spans="1:27" ht="32.1" customHeight="1" thickBot="1" x14ac:dyDescent="0.25">
      <c r="B26" s="176"/>
      <c r="C26" s="177"/>
      <c r="D26" s="178"/>
      <c r="E26" s="582"/>
      <c r="F26" s="185"/>
      <c r="G26" s="186"/>
      <c r="H26" s="100" t="str">
        <f>IF(T26=1,"*","")</f>
        <v/>
      </c>
      <c r="I26" s="129" t="str">
        <f>IF((V26&amp;" "&amp;W26)="TRUE TRUE","Please select only one option from the Benefical ownership column","")</f>
        <v/>
      </c>
      <c r="M26" s="19">
        <f>IF(G20&gt;=4,IF(SUM(N26:S26)&lt;&gt;0,1,0),0)</f>
        <v>0</v>
      </c>
      <c r="N26" s="32">
        <f>IF(ISTEXT(B26)=TRUE,0,1)</f>
        <v>1</v>
      </c>
      <c r="O26" s="32">
        <f>IF(ISERROR(EXACT(VLOOKUP(C26,SPM,1,FALSE),C26)),1,0)</f>
        <v>1</v>
      </c>
      <c r="P26" s="32">
        <f t="shared" si="1"/>
        <v>1</v>
      </c>
      <c r="Q26" s="32">
        <f t="shared" si="1"/>
        <v>1</v>
      </c>
      <c r="R26" s="32">
        <f>IF(X26="Yes",0,IF(X26="No",0,1))</f>
        <v>1</v>
      </c>
      <c r="S26" s="32">
        <f>IF(AA26="Yes",0,IF(AA26="No",0,1))</f>
        <v>1</v>
      </c>
      <c r="T26" s="32">
        <f>IF(G20&gt;=4,IF(SUM(N26:S26)&lt;&gt;0,1,0),0)</f>
        <v>0</v>
      </c>
      <c r="U26" s="32" t="str">
        <f>IF(G20="","",IF(G20&gt;=4,0,1))</f>
        <v/>
      </c>
      <c r="V26" s="78" t="b">
        <v>0</v>
      </c>
      <c r="W26" s="78" t="b">
        <v>0</v>
      </c>
      <c r="X26" s="32">
        <f>IF((V26&amp;" "&amp;W26)="TRUE FALSE","Yes",IF((V26&amp;" "&amp;W26)="FALSE TRUE","No",IF((V26&amp;" "&amp;W26)="TRUE TRUE","Invalid Input",1)))</f>
        <v>1</v>
      </c>
      <c r="Y26" s="78" t="b">
        <v>0</v>
      </c>
      <c r="Z26" s="78" t="b">
        <v>0</v>
      </c>
      <c r="AA26" s="32">
        <f>IF((Y26&amp;" "&amp;Z26)="TRUE FALSE","Yes",IF((Y26&amp;" "&amp;Z26)="FALSE TRUE","No",IF((Y26&amp;" "&amp;Z26)="TRUE TRUE","Invalid Input",1)))</f>
        <v>1</v>
      </c>
    </row>
    <row r="27" spans="1:27" ht="15.95" customHeight="1" x14ac:dyDescent="0.2">
      <c r="B27" s="46"/>
      <c r="C27" s="46"/>
      <c r="D27" s="49"/>
      <c r="E27" s="50"/>
      <c r="F27" s="104"/>
      <c r="G27" s="104"/>
      <c r="N27" s="20"/>
      <c r="O27" s="20"/>
      <c r="P27" s="20"/>
      <c r="Q27" s="20"/>
      <c r="R27" s="20"/>
      <c r="S27" s="20"/>
      <c r="U27" s="20"/>
      <c r="V27" s="20"/>
      <c r="W27" s="20"/>
      <c r="X27" s="20"/>
      <c r="Y27" s="20"/>
      <c r="Z27" s="20"/>
      <c r="AA27" s="20"/>
    </row>
    <row r="28" spans="1:27" ht="15.95" customHeight="1" x14ac:dyDescent="0.2">
      <c r="B28" s="159"/>
      <c r="C28" s="159"/>
      <c r="D28" s="285" t="str">
        <f>IF(SUM(D23:D26)&gt;1,"Total percentage holdings exceeds 100%","")</f>
        <v/>
      </c>
      <c r="E28" s="50"/>
      <c r="F28" s="104"/>
      <c r="G28" s="104"/>
      <c r="N28" s="20"/>
      <c r="O28" s="20"/>
      <c r="P28" s="20"/>
      <c r="Q28" s="20"/>
      <c r="R28" s="20"/>
      <c r="S28" s="69"/>
      <c r="T28" s="38"/>
      <c r="U28" s="20"/>
      <c r="V28" s="20"/>
      <c r="W28" s="20"/>
      <c r="X28" s="20"/>
      <c r="Y28" s="20"/>
      <c r="Z28" s="20"/>
      <c r="AA28" s="20"/>
    </row>
    <row r="29" spans="1:27" ht="15.95" customHeight="1" thickBot="1" x14ac:dyDescent="0.25">
      <c r="B29" s="46"/>
      <c r="C29" s="46"/>
      <c r="D29" s="49"/>
      <c r="E29" s="50"/>
      <c r="F29" s="104"/>
      <c r="G29" s="104"/>
    </row>
    <row r="30" spans="1:27" ht="39.950000000000003" customHeight="1" x14ac:dyDescent="0.2">
      <c r="B30" s="546" t="s">
        <v>449</v>
      </c>
      <c r="C30" s="547"/>
      <c r="D30" s="547"/>
      <c r="E30" s="548"/>
      <c r="F30" s="548"/>
      <c r="G30" s="549"/>
      <c r="H30" s="100"/>
    </row>
    <row r="31" spans="1:27" ht="48" customHeight="1" thickBot="1" x14ac:dyDescent="0.25">
      <c r="B31" s="729" t="s">
        <v>742</v>
      </c>
      <c r="C31" s="730"/>
      <c r="D31" s="730"/>
      <c r="E31" s="730"/>
      <c r="F31" s="731" t="str">
        <f>IF(P31="Invalid Input","Please select only one option","")</f>
        <v/>
      </c>
      <c r="G31" s="732"/>
      <c r="H31" s="100" t="str">
        <f>IF(M31=1,"*",IF(M31="Invalid Input","*",""))</f>
        <v>*</v>
      </c>
      <c r="M31" s="32">
        <f>IF((N31&amp;" "&amp;O31)="FALSE FALSE",1,IF((N31&amp;" "&amp;O31)="TRUE TRUE",1,0))</f>
        <v>1</v>
      </c>
      <c r="N31" s="78" t="b">
        <v>0</v>
      </c>
      <c r="O31" s="78" t="b">
        <v>0</v>
      </c>
      <c r="P31" s="32">
        <f>IF((N31&amp;" "&amp;O31)="TRUE FALSE","Yes",IF((N31&amp;" "&amp;O31)="FALSE TRUE","No",IF((N31&amp;" "&amp;O31)="TRUE TRUE","Invalid Input",1)))</f>
        <v>1</v>
      </c>
      <c r="T31" s="19"/>
    </row>
    <row r="32" spans="1:27" ht="15.95" customHeight="1" x14ac:dyDescent="0.2">
      <c r="B32" s="76"/>
      <c r="C32" s="25"/>
      <c r="D32" s="26"/>
      <c r="F32" s="27"/>
      <c r="G32" s="104"/>
      <c r="H32" s="100"/>
    </row>
    <row r="33" spans="1:24" ht="15.95" customHeight="1" x14ac:dyDescent="0.2">
      <c r="B33" s="333" t="str">
        <f>IF(P31="No","Please note that your application will not proceed until the required documentation is submitted","")</f>
        <v/>
      </c>
      <c r="C33" s="332"/>
      <c r="D33" s="220"/>
      <c r="E33" s="221"/>
      <c r="F33" s="222"/>
      <c r="G33" s="222"/>
      <c r="H33" s="100"/>
      <c r="L33" s="69" t="s">
        <v>667</v>
      </c>
      <c r="M33" s="38" t="str">
        <f>IF(SUM(M20,M23:M31)&lt;&gt;0,"Invalid","Valid")</f>
        <v>Invalid</v>
      </c>
      <c r="T33" s="19"/>
    </row>
    <row r="34" spans="1:24" ht="15.95" customHeight="1" thickBot="1" x14ac:dyDescent="0.25">
      <c r="B34" s="25"/>
      <c r="C34" s="25"/>
      <c r="D34" s="26"/>
      <c r="F34" s="27"/>
      <c r="G34" s="27"/>
      <c r="H34" s="100"/>
    </row>
    <row r="35" spans="1:24" ht="32.1" customHeight="1" thickBot="1" x14ac:dyDescent="0.25">
      <c r="B35" s="602" t="s">
        <v>694</v>
      </c>
      <c r="C35" s="196"/>
      <c r="D35" s="196"/>
      <c r="E35" s="196"/>
      <c r="F35" s="600" t="s">
        <v>347</v>
      </c>
      <c r="G35" s="100"/>
      <c r="H35" s="100"/>
    </row>
    <row r="36" spans="1:24" ht="39.950000000000003" customHeight="1" thickBot="1" x14ac:dyDescent="0.25">
      <c r="B36" s="719" t="s">
        <v>743</v>
      </c>
      <c r="C36" s="720"/>
      <c r="D36" s="720"/>
      <c r="E36" s="720"/>
      <c r="F36" s="583"/>
      <c r="G36" s="100" t="str">
        <f>IF(T36=1,"*","")</f>
        <v>*</v>
      </c>
      <c r="H36" s="100"/>
      <c r="S36" s="32">
        <f>IF(EXACT(VLOOKUP(F36,Number1,1,FALSE),F36)=TRUE,0,1)</f>
        <v>1</v>
      </c>
      <c r="T36" s="32">
        <f>IF(EXACT(VLOOKUP(F36,Number1,1,FALSE),F36)=TRUE,0,1)+IF((N9+N20+U36)=3,1,0)</f>
        <v>1</v>
      </c>
      <c r="U36" s="32">
        <f>IF(F36="",0,IF(VLOOKUP(F36,Control!$AJ$2:$AK$14,2,FALSE)=0,1,0))</f>
        <v>0</v>
      </c>
    </row>
    <row r="37" spans="1:24" ht="24" customHeight="1" thickBot="1" x14ac:dyDescent="0.25">
      <c r="B37" s="683" t="s">
        <v>549</v>
      </c>
      <c r="C37" s="681" t="s">
        <v>345</v>
      </c>
      <c r="D37" s="681" t="s">
        <v>826</v>
      </c>
      <c r="E37" s="712" t="s">
        <v>346</v>
      </c>
      <c r="F37" s="713"/>
      <c r="G37" s="100"/>
      <c r="H37" s="100"/>
      <c r="M37" s="704" t="s">
        <v>556</v>
      </c>
      <c r="N37" s="705" t="s">
        <v>549</v>
      </c>
      <c r="O37" s="707" t="s">
        <v>345</v>
      </c>
      <c r="P37" s="707" t="s">
        <v>651</v>
      </c>
      <c r="Q37" s="709" t="s">
        <v>346</v>
      </c>
      <c r="R37" s="710"/>
      <c r="T37" s="704" t="s">
        <v>668</v>
      </c>
    </row>
    <row r="38" spans="1:24" ht="24" customHeight="1" thickBot="1" x14ac:dyDescent="0.25">
      <c r="B38" s="684"/>
      <c r="C38" s="682"/>
      <c r="D38" s="682"/>
      <c r="E38" s="603" t="s">
        <v>550</v>
      </c>
      <c r="F38" s="604" t="s">
        <v>351</v>
      </c>
      <c r="G38" s="100"/>
      <c r="H38" s="100"/>
      <c r="M38" s="704"/>
      <c r="N38" s="706"/>
      <c r="O38" s="708"/>
      <c r="P38" s="708"/>
      <c r="Q38" s="163" t="s">
        <v>550</v>
      </c>
      <c r="R38" s="164" t="s">
        <v>351</v>
      </c>
      <c r="T38" s="704"/>
    </row>
    <row r="39" spans="1:24" ht="32.1" customHeight="1" x14ac:dyDescent="0.2">
      <c r="A39" s="32"/>
      <c r="B39" s="584"/>
      <c r="C39" s="585"/>
      <c r="D39" s="586" t="str">
        <f t="shared" ref="D39:D48" si="2">IF((W39&amp;" "&amp;X39)="TRUE TRUE","Please select only one option","")</f>
        <v/>
      </c>
      <c r="E39" s="585"/>
      <c r="F39" s="587"/>
      <c r="G39" s="100" t="str">
        <f>IF(M39=1,"*","")</f>
        <v/>
      </c>
      <c r="H39" s="100"/>
      <c r="M39" s="32">
        <f>IF(F36&gt;=1,IF(SUM(N39:R39)&lt;&gt;0,1,0),0)</f>
        <v>0</v>
      </c>
      <c r="N39" s="32">
        <f t="shared" ref="N39" si="3">IF(ISTEXT(B39)=TRUE,0,1)</f>
        <v>1</v>
      </c>
      <c r="O39" s="32">
        <f t="shared" ref="O39" si="4">IF(ISTEXT(C39)=TRUE,0,1)</f>
        <v>1</v>
      </c>
      <c r="P39" s="32">
        <f>V39</f>
        <v>1</v>
      </c>
      <c r="Q39" s="32">
        <f t="shared" ref="Q39:R39" si="5">IF(ISNUMBER(E39)=TRUE,0,1)</f>
        <v>1</v>
      </c>
      <c r="R39" s="32">
        <f t="shared" si="5"/>
        <v>1</v>
      </c>
      <c r="T39" s="32" t="str">
        <f>IF($F$36="","",IF($F$36&gt;=1,0,1))</f>
        <v/>
      </c>
      <c r="V39" s="32">
        <f>IF((W39&amp;" "&amp;X39)="FALSE FALSE",1,IF((W39&amp;" "&amp;X39)="TRUE TRUE",1,0))</f>
        <v>1</v>
      </c>
      <c r="W39" s="78" t="b">
        <v>0</v>
      </c>
      <c r="X39" s="78" t="b">
        <v>0</v>
      </c>
    </row>
    <row r="40" spans="1:24" ht="32.1" customHeight="1" x14ac:dyDescent="0.2">
      <c r="B40" s="187"/>
      <c r="C40" s="292"/>
      <c r="D40" s="588" t="str">
        <f t="shared" si="2"/>
        <v/>
      </c>
      <c r="E40" s="292"/>
      <c r="F40" s="234"/>
      <c r="G40" s="100" t="str">
        <f t="shared" ref="G40:G48" si="6">IF(M40=1,"*","")</f>
        <v/>
      </c>
      <c r="H40" s="100"/>
      <c r="M40" s="32">
        <f>IF(F36&gt;=2,IF(SUM(N40:R40)&lt;&gt;0,1,0),0)</f>
        <v>0</v>
      </c>
      <c r="N40" s="32">
        <f t="shared" ref="N40:N48" si="7">IF(ISTEXT(B40)=TRUE,0,1)</f>
        <v>1</v>
      </c>
      <c r="O40" s="32">
        <f t="shared" ref="O40:O48" si="8">IF(ISTEXT(C40)=TRUE,0,1)</f>
        <v>1</v>
      </c>
      <c r="P40" s="32">
        <f t="shared" ref="P40:P48" si="9">V40</f>
        <v>1</v>
      </c>
      <c r="Q40" s="32">
        <f t="shared" ref="Q40:Q48" si="10">IF(ISNUMBER(E40)=TRUE,0,1)</f>
        <v>1</v>
      </c>
      <c r="R40" s="32">
        <f t="shared" ref="R40:R48" si="11">IF(ISNUMBER(F40)=TRUE,0,1)</f>
        <v>1</v>
      </c>
      <c r="T40" s="32" t="str">
        <f>IF($F$36="","",IF($F$36&gt;=2,0,1))</f>
        <v/>
      </c>
      <c r="V40" s="32">
        <f t="shared" ref="V40:V48" si="12">IF((W40&amp;" "&amp;X40)="FALSE FALSE",1,IF((W40&amp;" "&amp;X40)="TRUE TRUE",1,0))</f>
        <v>1</v>
      </c>
      <c r="W40" s="78" t="b">
        <v>0</v>
      </c>
      <c r="X40" s="78" t="b">
        <v>0</v>
      </c>
    </row>
    <row r="41" spans="1:24" ht="32.1" customHeight="1" x14ac:dyDescent="0.2">
      <c r="B41" s="187"/>
      <c r="C41" s="292"/>
      <c r="D41" s="588" t="str">
        <f t="shared" si="2"/>
        <v/>
      </c>
      <c r="E41" s="292"/>
      <c r="F41" s="234"/>
      <c r="G41" s="100" t="str">
        <f t="shared" si="6"/>
        <v/>
      </c>
      <c r="H41" s="100"/>
      <c r="M41" s="32">
        <f>IF(F36&gt;=3,IF(SUM(N41:R41)&lt;&gt;0,1,0),0)</f>
        <v>0</v>
      </c>
      <c r="N41" s="32">
        <f t="shared" si="7"/>
        <v>1</v>
      </c>
      <c r="O41" s="32">
        <f t="shared" si="8"/>
        <v>1</v>
      </c>
      <c r="P41" s="32">
        <f t="shared" si="9"/>
        <v>1</v>
      </c>
      <c r="Q41" s="32">
        <f t="shared" si="10"/>
        <v>1</v>
      </c>
      <c r="R41" s="32">
        <f t="shared" si="11"/>
        <v>1</v>
      </c>
      <c r="T41" s="32" t="str">
        <f>IF($F$36="","",IF($F$36&gt;=3,0,1))</f>
        <v/>
      </c>
      <c r="V41" s="32">
        <f t="shared" si="12"/>
        <v>1</v>
      </c>
      <c r="W41" s="78" t="b">
        <v>0</v>
      </c>
      <c r="X41" s="78" t="b">
        <v>0</v>
      </c>
    </row>
    <row r="42" spans="1:24" ht="32.1" customHeight="1" x14ac:dyDescent="0.2">
      <c r="B42" s="187"/>
      <c r="C42" s="292"/>
      <c r="D42" s="588" t="str">
        <f t="shared" si="2"/>
        <v/>
      </c>
      <c r="E42" s="292"/>
      <c r="F42" s="234"/>
      <c r="G42" s="100" t="str">
        <f t="shared" si="6"/>
        <v/>
      </c>
      <c r="M42" s="32">
        <f>IF(F36&gt;=4,IF(SUM(N42:R42)&lt;&gt;0,1,0),0)</f>
        <v>0</v>
      </c>
      <c r="N42" s="32">
        <f t="shared" si="7"/>
        <v>1</v>
      </c>
      <c r="O42" s="32">
        <f t="shared" si="8"/>
        <v>1</v>
      </c>
      <c r="P42" s="32">
        <f t="shared" si="9"/>
        <v>1</v>
      </c>
      <c r="Q42" s="32">
        <f t="shared" si="10"/>
        <v>1</v>
      </c>
      <c r="R42" s="32">
        <f t="shared" si="11"/>
        <v>1</v>
      </c>
      <c r="T42" s="32" t="str">
        <f>IF($F$36="","",IF($F$36&gt;=4,0,1))</f>
        <v/>
      </c>
      <c r="V42" s="32">
        <f t="shared" si="12"/>
        <v>1</v>
      </c>
      <c r="W42" s="78" t="b">
        <v>0</v>
      </c>
      <c r="X42" s="78" t="b">
        <v>0</v>
      </c>
    </row>
    <row r="43" spans="1:24" ht="32.1" customHeight="1" x14ac:dyDescent="0.2">
      <c r="B43" s="187"/>
      <c r="C43" s="292"/>
      <c r="D43" s="588" t="str">
        <f t="shared" si="2"/>
        <v/>
      </c>
      <c r="E43" s="292"/>
      <c r="F43" s="234"/>
      <c r="G43" s="100" t="str">
        <f t="shared" si="6"/>
        <v/>
      </c>
      <c r="H43" s="27"/>
      <c r="M43" s="32">
        <f>IF(F36&gt;=5,IF(SUM(N43:R43)&lt;&gt;0,1,0),0)</f>
        <v>0</v>
      </c>
      <c r="N43" s="32">
        <f t="shared" si="7"/>
        <v>1</v>
      </c>
      <c r="O43" s="32">
        <f t="shared" si="8"/>
        <v>1</v>
      </c>
      <c r="P43" s="32">
        <f t="shared" si="9"/>
        <v>1</v>
      </c>
      <c r="Q43" s="32">
        <f t="shared" si="10"/>
        <v>1</v>
      </c>
      <c r="R43" s="32">
        <f t="shared" si="11"/>
        <v>1</v>
      </c>
      <c r="T43" s="32" t="str">
        <f>IF($F$36="","",IF($F$36&gt;=5,0,1))</f>
        <v/>
      </c>
      <c r="V43" s="32">
        <f t="shared" si="12"/>
        <v>1</v>
      </c>
      <c r="W43" s="78" t="b">
        <v>0</v>
      </c>
      <c r="X43" s="78" t="b">
        <v>0</v>
      </c>
    </row>
    <row r="44" spans="1:24" ht="32.1" customHeight="1" x14ac:dyDescent="0.2">
      <c r="A44" s="27"/>
      <c r="B44" s="187"/>
      <c r="C44" s="292"/>
      <c r="D44" s="588" t="str">
        <f t="shared" si="2"/>
        <v/>
      </c>
      <c r="E44" s="292"/>
      <c r="F44" s="234"/>
      <c r="G44" s="100" t="str">
        <f t="shared" si="6"/>
        <v/>
      </c>
      <c r="M44" s="32">
        <f>IF(F36&gt;=6,IF(SUM(N44:R44)&lt;&gt;0,1,0),0)</f>
        <v>0</v>
      </c>
      <c r="N44" s="32">
        <f t="shared" si="7"/>
        <v>1</v>
      </c>
      <c r="O44" s="32">
        <f t="shared" si="8"/>
        <v>1</v>
      </c>
      <c r="P44" s="32">
        <f t="shared" si="9"/>
        <v>1</v>
      </c>
      <c r="Q44" s="32">
        <f t="shared" si="10"/>
        <v>1</v>
      </c>
      <c r="R44" s="32">
        <f t="shared" si="11"/>
        <v>1</v>
      </c>
      <c r="T44" s="32" t="str">
        <f>IF($F$36="","",IF($F$36&gt;=6,0,1))</f>
        <v/>
      </c>
      <c r="V44" s="32">
        <f t="shared" si="12"/>
        <v>1</v>
      </c>
      <c r="W44" s="78" t="b">
        <v>0</v>
      </c>
      <c r="X44" s="78" t="b">
        <v>0</v>
      </c>
    </row>
    <row r="45" spans="1:24" s="20" customFormat="1" ht="32.1" customHeight="1" x14ac:dyDescent="0.2">
      <c r="A45" s="41"/>
      <c r="B45" s="187"/>
      <c r="C45" s="292"/>
      <c r="D45" s="588" t="str">
        <f t="shared" si="2"/>
        <v/>
      </c>
      <c r="E45" s="292"/>
      <c r="F45" s="234"/>
      <c r="G45" s="100" t="str">
        <f t="shared" si="6"/>
        <v/>
      </c>
      <c r="H45" s="94"/>
      <c r="I45" s="19"/>
      <c r="J45" s="19"/>
      <c r="K45" s="19"/>
      <c r="L45" s="19"/>
      <c r="M45" s="32">
        <f>IF(F36&gt;=7,IF(SUM(N45:R45)&lt;&gt;0,1,0),0)</f>
        <v>0</v>
      </c>
      <c r="N45" s="32">
        <f t="shared" si="7"/>
        <v>1</v>
      </c>
      <c r="O45" s="32">
        <f t="shared" si="8"/>
        <v>1</v>
      </c>
      <c r="P45" s="32">
        <f t="shared" si="9"/>
        <v>1</v>
      </c>
      <c r="Q45" s="32">
        <f t="shared" si="10"/>
        <v>1</v>
      </c>
      <c r="R45" s="32">
        <f t="shared" si="11"/>
        <v>1</v>
      </c>
      <c r="T45" s="32" t="str">
        <f>IF($F$36="","",IF($F$36&gt;=7,0,1))</f>
        <v/>
      </c>
      <c r="V45" s="32">
        <f t="shared" si="12"/>
        <v>1</v>
      </c>
      <c r="W45" s="78" t="b">
        <v>0</v>
      </c>
      <c r="X45" s="78" t="b">
        <v>0</v>
      </c>
    </row>
    <row r="46" spans="1:24" s="20" customFormat="1" ht="32.1" customHeight="1" x14ac:dyDescent="0.2">
      <c r="A46" s="41"/>
      <c r="B46" s="187"/>
      <c r="C46" s="292"/>
      <c r="D46" s="588" t="str">
        <f t="shared" si="2"/>
        <v/>
      </c>
      <c r="E46" s="292"/>
      <c r="F46" s="234"/>
      <c r="G46" s="100" t="str">
        <f t="shared" si="6"/>
        <v/>
      </c>
      <c r="H46" s="48"/>
      <c r="I46" s="19"/>
      <c r="J46" s="19"/>
      <c r="K46" s="19"/>
      <c r="L46" s="19"/>
      <c r="M46" s="32">
        <f>IF(F36&gt;=8,IF(SUM(N46:R46)&lt;&gt;0,1,0),0)</f>
        <v>0</v>
      </c>
      <c r="N46" s="32">
        <f t="shared" si="7"/>
        <v>1</v>
      </c>
      <c r="O46" s="32">
        <f t="shared" si="8"/>
        <v>1</v>
      </c>
      <c r="P46" s="32">
        <f t="shared" si="9"/>
        <v>1</v>
      </c>
      <c r="Q46" s="32">
        <f t="shared" si="10"/>
        <v>1</v>
      </c>
      <c r="R46" s="32">
        <f t="shared" si="11"/>
        <v>1</v>
      </c>
      <c r="T46" s="32" t="str">
        <f>IF($F$36="","",IF($F$36&gt;=8,0,1))</f>
        <v/>
      </c>
      <c r="V46" s="32">
        <f t="shared" si="12"/>
        <v>1</v>
      </c>
      <c r="W46" s="78" t="b">
        <v>0</v>
      </c>
      <c r="X46" s="78" t="b">
        <v>0</v>
      </c>
    </row>
    <row r="47" spans="1:24" s="20" customFormat="1" ht="32.1" customHeight="1" x14ac:dyDescent="0.2">
      <c r="A47" s="41"/>
      <c r="B47" s="187"/>
      <c r="C47" s="292"/>
      <c r="D47" s="588" t="str">
        <f t="shared" si="2"/>
        <v/>
      </c>
      <c r="E47" s="292"/>
      <c r="F47" s="234"/>
      <c r="G47" s="100" t="str">
        <f t="shared" si="6"/>
        <v/>
      </c>
      <c r="K47" s="19"/>
      <c r="L47" s="19"/>
      <c r="M47" s="32">
        <f>IF(F36&gt;=9,IF(SUM(N47:R47)&lt;&gt;0,1,0),0)</f>
        <v>0</v>
      </c>
      <c r="N47" s="32">
        <f t="shared" si="7"/>
        <v>1</v>
      </c>
      <c r="O47" s="32">
        <f t="shared" si="8"/>
        <v>1</v>
      </c>
      <c r="P47" s="32">
        <f t="shared" si="9"/>
        <v>1</v>
      </c>
      <c r="Q47" s="32">
        <f t="shared" si="10"/>
        <v>1</v>
      </c>
      <c r="R47" s="32">
        <f t="shared" si="11"/>
        <v>1</v>
      </c>
      <c r="T47" s="32" t="str">
        <f>IF($F$36="","",IF($F$36&gt;=9,0,1))</f>
        <v/>
      </c>
      <c r="V47" s="32">
        <f t="shared" si="12"/>
        <v>1</v>
      </c>
      <c r="W47" s="78" t="b">
        <v>0</v>
      </c>
      <c r="X47" s="78" t="b">
        <v>0</v>
      </c>
    </row>
    <row r="48" spans="1:24" s="20" customFormat="1" ht="32.1" customHeight="1" thickBot="1" x14ac:dyDescent="0.25">
      <c r="A48" s="41"/>
      <c r="B48" s="589"/>
      <c r="C48" s="590"/>
      <c r="D48" s="591" t="str">
        <f t="shared" si="2"/>
        <v/>
      </c>
      <c r="E48" s="590"/>
      <c r="F48" s="592"/>
      <c r="G48" s="100" t="str">
        <f t="shared" si="6"/>
        <v/>
      </c>
      <c r="K48" s="19"/>
      <c r="L48" s="19"/>
      <c r="M48" s="32">
        <f>IF(F36&gt;=10,IF(SUM(N48:R48)&lt;&gt;0,1,0),0)</f>
        <v>0</v>
      </c>
      <c r="N48" s="32">
        <f t="shared" si="7"/>
        <v>1</v>
      </c>
      <c r="O48" s="32">
        <f t="shared" si="8"/>
        <v>1</v>
      </c>
      <c r="P48" s="32">
        <f t="shared" si="9"/>
        <v>1</v>
      </c>
      <c r="Q48" s="32">
        <f t="shared" si="10"/>
        <v>1</v>
      </c>
      <c r="R48" s="32">
        <f t="shared" si="11"/>
        <v>1</v>
      </c>
      <c r="T48" s="32" t="str">
        <f>IF($F$36="","",IF($F$36&gt;=10,0,1))</f>
        <v/>
      </c>
      <c r="V48" s="32">
        <f t="shared" si="12"/>
        <v>1</v>
      </c>
      <c r="W48" s="78" t="b">
        <v>0</v>
      </c>
      <c r="X48" s="78" t="b">
        <v>0</v>
      </c>
    </row>
    <row r="49" spans="1:24" s="20" customFormat="1" ht="15.95" customHeight="1" x14ac:dyDescent="0.2">
      <c r="B49" s="427"/>
      <c r="C49" s="423"/>
      <c r="D49" s="424"/>
      <c r="E49" s="424"/>
      <c r="F49" s="423"/>
      <c r="G49" s="423"/>
      <c r="H49" s="94"/>
      <c r="K49" s="19"/>
      <c r="L49" s="19"/>
    </row>
    <row r="50" spans="1:24" s="20" customFormat="1" ht="15.95" customHeight="1" x14ac:dyDescent="0.2">
      <c r="B50" s="427"/>
      <c r="C50" s="423"/>
      <c r="D50" s="428"/>
      <c r="E50" s="424"/>
      <c r="F50" s="423"/>
      <c r="G50" s="423"/>
      <c r="H50" s="94"/>
      <c r="K50" s="19"/>
      <c r="L50" s="19"/>
    </row>
    <row r="51" spans="1:24" ht="15.95" customHeight="1" thickBot="1" x14ac:dyDescent="0.25">
      <c r="A51" s="27"/>
      <c r="B51" s="427"/>
      <c r="C51" s="429"/>
      <c r="D51" s="430"/>
      <c r="E51" s="430"/>
      <c r="F51" s="431"/>
      <c r="G51" s="27"/>
      <c r="H51" s="20"/>
      <c r="I51" s="20"/>
      <c r="T51" s="19"/>
    </row>
    <row r="52" spans="1:24" ht="39.950000000000003" customHeight="1" x14ac:dyDescent="0.2">
      <c r="B52" s="694" t="s">
        <v>449</v>
      </c>
      <c r="C52" s="695"/>
      <c r="D52" s="696"/>
      <c r="E52" s="727" t="s">
        <v>713</v>
      </c>
      <c r="F52" s="728"/>
      <c r="G52" s="55"/>
      <c r="H52" s="94"/>
      <c r="I52" s="20"/>
      <c r="M52" s="474" t="s">
        <v>556</v>
      </c>
      <c r="T52" s="195" t="s">
        <v>668</v>
      </c>
    </row>
    <row r="53" spans="1:24" ht="39.950000000000003" customHeight="1" x14ac:dyDescent="0.2">
      <c r="B53" s="733" t="s">
        <v>652</v>
      </c>
      <c r="C53" s="734"/>
      <c r="D53" s="735"/>
      <c r="E53" s="725" t="str">
        <f>IF(P53="Invalid Input","Please select only one option","")</f>
        <v/>
      </c>
      <c r="F53" s="726"/>
      <c r="G53" s="100" t="str">
        <f t="shared" ref="G53:G55" si="13">IF(M53=1,"*","")</f>
        <v/>
      </c>
      <c r="H53" s="20"/>
      <c r="I53" s="20"/>
      <c r="M53" s="32">
        <f>IF(F36="10+",IF((N53&amp;" "&amp;O53)="FALSE FALSE",1,IF((N53&amp;" "&amp;O53)="TRUE TRUE",1,0)),0)</f>
        <v>0</v>
      </c>
      <c r="N53" s="78" t="b">
        <v>0</v>
      </c>
      <c r="O53" s="78" t="b">
        <v>0</v>
      </c>
      <c r="P53" s="32">
        <f>IF((N53&amp;" "&amp;O53)="TRUE FALSE","Yes",IF((N53&amp;" "&amp;O53)="FALSE TRUE","No",IF((N53&amp;" "&amp;O53)="TRUE TRUE","Invalid Input",1)))</f>
        <v>1</v>
      </c>
      <c r="Q53" s="32">
        <f>IF(W53="Yes",0,IF(W53="no",0,1))</f>
        <v>1</v>
      </c>
      <c r="T53" s="32">
        <f>IF(F36="",0,IF(F36&lt;&gt;"10+",1,0))</f>
        <v>0</v>
      </c>
      <c r="U53" s="32"/>
      <c r="V53" s="32"/>
      <c r="W53" s="32"/>
      <c r="X53" s="32"/>
    </row>
    <row r="54" spans="1:24" ht="39.950000000000003" customHeight="1" x14ac:dyDescent="0.2">
      <c r="B54" s="733" t="s">
        <v>738</v>
      </c>
      <c r="C54" s="734"/>
      <c r="D54" s="735"/>
      <c r="E54" s="721"/>
      <c r="F54" s="722"/>
      <c r="G54" s="100" t="str">
        <f t="shared" si="13"/>
        <v/>
      </c>
      <c r="H54" s="20"/>
      <c r="I54" s="20"/>
      <c r="M54" s="32">
        <f>IF(P53="Yes",IF(ISBLANK(E54)=TRUE,1,0),0)</f>
        <v>0</v>
      </c>
      <c r="T54" s="19"/>
    </row>
    <row r="55" spans="1:24" ht="39.950000000000003" customHeight="1" thickBot="1" x14ac:dyDescent="0.25">
      <c r="B55" s="691" t="s">
        <v>739</v>
      </c>
      <c r="C55" s="692"/>
      <c r="D55" s="693"/>
      <c r="E55" s="723"/>
      <c r="F55" s="724"/>
      <c r="G55" s="100" t="str">
        <f t="shared" si="13"/>
        <v/>
      </c>
      <c r="H55" s="20"/>
      <c r="I55" s="20"/>
      <c r="M55" s="32">
        <f>IF(P53="No",IF(ISNUMBER(E55)=FALSE,1,0),0)</f>
        <v>0</v>
      </c>
      <c r="T55" s="19"/>
    </row>
    <row r="56" spans="1:24" ht="15.95" customHeight="1" x14ac:dyDescent="0.2">
      <c r="B56" s="212"/>
      <c r="C56" s="212"/>
      <c r="D56" s="213"/>
      <c r="E56" s="432"/>
      <c r="F56" s="432"/>
      <c r="G56" s="161"/>
      <c r="H56" s="20"/>
      <c r="I56" s="20"/>
      <c r="T56" s="19"/>
    </row>
    <row r="57" spans="1:24" ht="15.95" customHeight="1" x14ac:dyDescent="0.2">
      <c r="B57" s="330" t="str">
        <f>IF(P53="No",IF(ISNUMBER(E55)=TRUE,"Please note that your application will not proceed until all the required documentation is submitted",""),"")</f>
        <v/>
      </c>
      <c r="C57" s="332"/>
      <c r="D57" s="334"/>
      <c r="E57" s="433"/>
      <c r="F57" s="433"/>
      <c r="G57" s="161"/>
      <c r="H57" s="20"/>
      <c r="I57" s="20"/>
      <c r="T57" s="19"/>
    </row>
    <row r="58" spans="1:24" ht="15.95" customHeight="1" thickBot="1" x14ac:dyDescent="0.25">
      <c r="B58" s="330"/>
      <c r="C58" s="332"/>
      <c r="D58" s="334"/>
      <c r="E58" s="433"/>
      <c r="F58" s="432"/>
      <c r="G58" s="161"/>
      <c r="H58" s="20"/>
      <c r="I58" s="20"/>
      <c r="T58" s="19"/>
    </row>
    <row r="59" spans="1:24" ht="48" customHeight="1" x14ac:dyDescent="0.2">
      <c r="B59" s="688" t="s">
        <v>449</v>
      </c>
      <c r="C59" s="689"/>
      <c r="D59" s="689"/>
      <c r="E59" s="689"/>
      <c r="F59" s="690"/>
      <c r="G59" s="345"/>
      <c r="H59" s="100"/>
      <c r="T59" s="19"/>
    </row>
    <row r="60" spans="1:24" ht="56.1" customHeight="1" thickBot="1" x14ac:dyDescent="0.25">
      <c r="B60" s="691" t="s">
        <v>788</v>
      </c>
      <c r="C60" s="692"/>
      <c r="D60" s="693"/>
      <c r="E60" s="736" t="str">
        <f>IF(R60=1,"Please select only one option","")</f>
        <v/>
      </c>
      <c r="F60" s="737"/>
      <c r="G60" s="536" t="str">
        <f>IF(M60=1,"*","")</f>
        <v>*</v>
      </c>
      <c r="H60" s="100"/>
      <c r="M60" s="32">
        <f>IF((N60&amp;" "&amp;O60&amp;" "&amp;P60)="FALSE FALSE FALSE",1,IF((N60&amp;" "&amp;O60&amp;" "&amp;P60)="TRUE FALSE FALSE",0,IF((N60&amp;" "&amp;O60&amp;" "&amp;P60)="FALSE TRUE FALSE",0,IF((N60&amp;" "&amp;O60&amp;" "&amp;P60)="FALSE FALSE TRUE",0,1))))</f>
        <v>1</v>
      </c>
      <c r="N60" s="78" t="b">
        <v>0</v>
      </c>
      <c r="O60" s="78" t="b">
        <v>0</v>
      </c>
      <c r="P60" s="78" t="b">
        <v>0</v>
      </c>
      <c r="Q60" s="32"/>
      <c r="R60" s="20">
        <f>IF(COUNTIF(N60:P60,"TRUE")=0,0,IF(COUNTIF(N60:P60,"TRUE")&lt;&gt;1,1,0))</f>
        <v>0</v>
      </c>
      <c r="T60" s="19"/>
    </row>
    <row r="61" spans="1:24" ht="15.95" customHeight="1" x14ac:dyDescent="0.2">
      <c r="B61" s="159"/>
      <c r="C61" s="159"/>
      <c r="D61" s="159"/>
      <c r="E61" s="159"/>
      <c r="F61" s="159"/>
      <c r="G61" s="160"/>
      <c r="H61" s="100"/>
      <c r="P61" s="32"/>
      <c r="T61" s="19"/>
    </row>
    <row r="62" spans="1:24" ht="15.95" customHeight="1" x14ac:dyDescent="0.2">
      <c r="B62" s="115" t="str">
        <f>IF(R60="No","Please note that your application will not proceed until all the required documentation is submitted","")</f>
        <v/>
      </c>
      <c r="C62" s="335"/>
      <c r="D62" s="335"/>
      <c r="E62" s="335"/>
      <c r="F62" s="335"/>
      <c r="G62" s="91"/>
      <c r="H62" s="100"/>
      <c r="P62" s="32"/>
      <c r="T62" s="19"/>
    </row>
    <row r="63" spans="1:24" ht="15.95" customHeight="1" thickBot="1" x14ac:dyDescent="0.25">
      <c r="B63" s="115"/>
      <c r="C63" s="335"/>
      <c r="D63" s="335"/>
      <c r="E63" s="335"/>
      <c r="F63" s="335"/>
      <c r="G63" s="104"/>
      <c r="H63" s="100"/>
      <c r="P63" s="32"/>
      <c r="T63" s="19"/>
    </row>
    <row r="64" spans="1:24" ht="39.950000000000003" customHeight="1" x14ac:dyDescent="0.2">
      <c r="B64" s="694" t="s">
        <v>449</v>
      </c>
      <c r="C64" s="695"/>
      <c r="D64" s="696"/>
      <c r="E64" s="727" t="s">
        <v>713</v>
      </c>
      <c r="F64" s="728"/>
      <c r="G64" s="55"/>
      <c r="H64" s="94"/>
      <c r="I64" s="20"/>
      <c r="M64" s="474" t="s">
        <v>556</v>
      </c>
      <c r="T64" s="474" t="s">
        <v>668</v>
      </c>
    </row>
    <row r="65" spans="2:24" ht="135.94999999999999" customHeight="1" x14ac:dyDescent="0.2">
      <c r="B65" s="733" t="s">
        <v>789</v>
      </c>
      <c r="C65" s="734"/>
      <c r="D65" s="735"/>
      <c r="E65" s="725" t="str">
        <f>IF(R65=1,"Please select only one option","")</f>
        <v/>
      </c>
      <c r="F65" s="726"/>
      <c r="G65" s="536" t="str">
        <f>IF(M65=1,"*","")</f>
        <v>*</v>
      </c>
      <c r="H65" s="23"/>
      <c r="I65" s="20"/>
      <c r="M65" s="32">
        <f>IF((N65&amp;" "&amp;O65&amp;" "&amp;P65)="FALSE FALSE FALSE",1,IF((N65&amp;" "&amp;O65&amp;" "&amp;P65)="TRUE FALSE FALSE",0,IF((N65&amp;" "&amp;O65&amp;" "&amp;P65)="FALSE TRUE FALSE",0,IF((N65&amp;" "&amp;O65&amp;" "&amp;P65)="FALSE FALSE TRUE",0,1))))</f>
        <v>1</v>
      </c>
      <c r="N65" s="78" t="b">
        <v>0</v>
      </c>
      <c r="O65" s="78" t="b">
        <v>0</v>
      </c>
      <c r="P65" s="78" t="b">
        <v>0</v>
      </c>
      <c r="Q65" s="32">
        <f>VLOOKUP((N65&amp;" "&amp;O65&amp;" "&amp;P65),Control!$CB$3:$CC$10,2,FALSE)</f>
        <v>0</v>
      </c>
      <c r="R65" s="20">
        <f>IF(COUNTIF(N65:P65,"TRUE")=0,0,IF(COUNTIF(N65:P65,"TRUE")&lt;&gt;1,1,0))</f>
        <v>0</v>
      </c>
      <c r="T65" s="32">
        <f>IF(F55="",0,IF(F55&lt;&gt;"10+",1,0))</f>
        <v>0</v>
      </c>
      <c r="U65" s="32"/>
      <c r="V65" s="32"/>
      <c r="W65" s="32"/>
      <c r="X65" s="32"/>
    </row>
    <row r="66" spans="2:24" ht="39.950000000000003" customHeight="1" x14ac:dyDescent="0.2">
      <c r="B66" s="733" t="s">
        <v>738</v>
      </c>
      <c r="C66" s="734"/>
      <c r="D66" s="735"/>
      <c r="E66" s="721"/>
      <c r="F66" s="722"/>
      <c r="G66" s="536" t="str">
        <f>IF(M66=1,"*","")</f>
        <v/>
      </c>
      <c r="H66" s="20"/>
      <c r="I66" s="20"/>
      <c r="M66" s="32">
        <f>IF(Q65="Yes",IF(ISBLANK(E66)=TRUE,1,0),0)</f>
        <v>0</v>
      </c>
      <c r="T66" s="19"/>
    </row>
    <row r="67" spans="2:24" ht="39.950000000000003" customHeight="1" thickBot="1" x14ac:dyDescent="0.25">
      <c r="B67" s="691" t="s">
        <v>739</v>
      </c>
      <c r="C67" s="692"/>
      <c r="D67" s="693"/>
      <c r="E67" s="723"/>
      <c r="F67" s="724"/>
      <c r="G67" s="536" t="str">
        <f>IF(M67=1,"*","")</f>
        <v/>
      </c>
      <c r="H67" s="20"/>
      <c r="I67" s="20"/>
      <c r="M67" s="32">
        <f>IF(Q65="No",IF(ISNUMBER(E67)=FALSE,1,0),0)</f>
        <v>0</v>
      </c>
      <c r="T67" s="19"/>
    </row>
    <row r="68" spans="2:24" ht="15.95" customHeight="1" x14ac:dyDescent="0.2">
      <c r="B68" s="212"/>
      <c r="C68" s="212"/>
      <c r="D68" s="213"/>
      <c r="E68" s="432"/>
      <c r="F68" s="432"/>
      <c r="G68" s="161"/>
      <c r="H68" s="20"/>
      <c r="I68" s="20"/>
      <c r="T68" s="19"/>
    </row>
    <row r="69" spans="2:24" ht="15.95" customHeight="1" x14ac:dyDescent="0.2">
      <c r="B69" s="330" t="str">
        <f>IF(Q65="No",IF(ISNUMBER(E67)=TRUE,"Please note that your application will not proceed until all the required documentation is submitted",""),"")</f>
        <v/>
      </c>
      <c r="C69" s="332"/>
      <c r="D69" s="334"/>
      <c r="E69" s="433"/>
      <c r="F69" s="433"/>
      <c r="G69" s="161"/>
      <c r="H69" s="20"/>
      <c r="I69" s="20"/>
      <c r="T69" s="19"/>
    </row>
    <row r="70" spans="2:24" ht="15.95" customHeight="1" x14ac:dyDescent="0.2">
      <c r="B70" s="115"/>
      <c r="C70" s="335"/>
      <c r="D70" s="335"/>
      <c r="E70" s="335"/>
      <c r="F70" s="335"/>
      <c r="G70" s="104"/>
      <c r="H70" s="100"/>
      <c r="P70" s="32"/>
      <c r="T70" s="19"/>
    </row>
    <row r="71" spans="2:24" ht="15.95" customHeight="1" thickBot="1" x14ac:dyDescent="0.25">
      <c r="B71" s="46"/>
      <c r="C71" s="46"/>
      <c r="D71" s="46"/>
      <c r="E71" s="46"/>
      <c r="F71" s="46"/>
      <c r="G71" s="27"/>
      <c r="H71" s="100"/>
      <c r="P71" s="32"/>
      <c r="T71" s="19"/>
    </row>
    <row r="72" spans="2:24" ht="48" customHeight="1" x14ac:dyDescent="0.2">
      <c r="B72" s="688" t="s">
        <v>449</v>
      </c>
      <c r="C72" s="689"/>
      <c r="D72" s="446" t="s">
        <v>714</v>
      </c>
      <c r="E72" s="685" t="s">
        <v>710</v>
      </c>
      <c r="F72" s="686"/>
      <c r="G72" s="55"/>
      <c r="Q72" s="32"/>
      <c r="T72" s="19"/>
    </row>
    <row r="73" spans="2:24" ht="39.950000000000003" customHeight="1" x14ac:dyDescent="0.2">
      <c r="B73" s="679" t="s">
        <v>715</v>
      </c>
      <c r="C73" s="680"/>
      <c r="D73" s="680"/>
      <c r="E73" s="680"/>
      <c r="F73" s="687"/>
      <c r="G73" s="55"/>
      <c r="H73" s="100"/>
      <c r="T73" s="19"/>
    </row>
    <row r="74" spans="2:24" ht="39.950000000000003" customHeight="1" x14ac:dyDescent="0.2">
      <c r="B74" s="679" t="s">
        <v>716</v>
      </c>
      <c r="C74" s="680"/>
      <c r="D74" s="346" t="str">
        <f>IF((N74&amp;" "&amp;O74)="TRUE TRUE","Please select only one option","")</f>
        <v/>
      </c>
      <c r="E74" s="677"/>
      <c r="F74" s="678"/>
      <c r="G74" s="536" t="str">
        <f>IF(M74=1,"*","")</f>
        <v>*</v>
      </c>
      <c r="H74" s="100"/>
      <c r="M74" s="32">
        <f>IF(P74=1,1,IF(P74="No",0,IF(P74="Yes",IF(ISBLANK(E74)=FALSE,0,1))))</f>
        <v>1</v>
      </c>
      <c r="N74" s="78" t="b">
        <v>0</v>
      </c>
      <c r="O74" s="78" t="b">
        <v>0</v>
      </c>
      <c r="P74" s="32">
        <f>IF((N74&amp;" "&amp;O74)="TRUE FALSE","Yes",IF((N74&amp;" "&amp;O74)="FALSE TRUE","No",IF((N74&amp;" "&amp;O74)="TRUE TRUE","Invalid Input",1)))</f>
        <v>1</v>
      </c>
      <c r="Q74" s="32"/>
      <c r="T74" s="19"/>
    </row>
    <row r="75" spans="2:24" ht="39.950000000000003" customHeight="1" x14ac:dyDescent="0.2">
      <c r="B75" s="679" t="s">
        <v>717</v>
      </c>
      <c r="C75" s="680"/>
      <c r="D75" s="346" t="str">
        <f>IF((N75&amp;" "&amp;O75)="TRUE TRUE","Please select only one option","")</f>
        <v/>
      </c>
      <c r="E75" s="677"/>
      <c r="F75" s="678"/>
      <c r="G75" s="536" t="str">
        <f>IF(M75=1,"*","")</f>
        <v>*</v>
      </c>
      <c r="H75" s="100"/>
      <c r="M75" s="32">
        <f>IF(P75=1,1,IF(P75="No",0,IF(P75="Yes",IF(ISBLANK(E75)=FALSE,0,1))))</f>
        <v>1</v>
      </c>
      <c r="N75" s="78" t="b">
        <v>0</v>
      </c>
      <c r="O75" s="78" t="b">
        <v>0</v>
      </c>
      <c r="P75" s="32">
        <f>IF((N75&amp;" "&amp;O75)="TRUE FALSE","Yes",IF((N75&amp;" "&amp;O75)="FALSE TRUE","No",IF((N75&amp;" "&amp;O75)="TRUE TRUE","Invalid Input",1)))</f>
        <v>1</v>
      </c>
      <c r="Q75" s="32"/>
      <c r="T75" s="19"/>
    </row>
    <row r="76" spans="2:24" ht="39.950000000000003" customHeight="1" x14ac:dyDescent="0.2">
      <c r="B76" s="679" t="s">
        <v>718</v>
      </c>
      <c r="C76" s="680"/>
      <c r="D76" s="346" t="str">
        <f>IF((N76&amp;" "&amp;O76)="TRUE TRUE","Please select only one option","")</f>
        <v/>
      </c>
      <c r="E76" s="677"/>
      <c r="F76" s="678"/>
      <c r="G76" s="536" t="str">
        <f>IF(M76=1,"*","")</f>
        <v>*</v>
      </c>
      <c r="H76" s="100"/>
      <c r="M76" s="32">
        <f>IF(P76=1,1,IF(P76="No",0,IF(P76="Yes",IF(ISBLANK(E76)=FALSE,0,1))))</f>
        <v>1</v>
      </c>
      <c r="N76" s="78" t="b">
        <v>0</v>
      </c>
      <c r="O76" s="78" t="b">
        <v>0</v>
      </c>
      <c r="P76" s="32">
        <f>IF((N76&amp;" "&amp;O76)="TRUE FALSE","Yes",IF((N76&amp;" "&amp;O76)="FALSE TRUE","No",IF((N76&amp;" "&amp;O76)="TRUE TRUE","Invalid Input",1)))</f>
        <v>1</v>
      </c>
      <c r="Q76" s="32"/>
      <c r="T76" s="19"/>
    </row>
    <row r="77" spans="2:24" ht="39.950000000000003" customHeight="1" thickBot="1" x14ac:dyDescent="0.25">
      <c r="B77" s="691" t="s">
        <v>790</v>
      </c>
      <c r="C77" s="692"/>
      <c r="D77" s="545"/>
      <c r="E77" s="723"/>
      <c r="F77" s="724"/>
      <c r="G77" s="536" t="str">
        <f>IF(M77=1,"*","")</f>
        <v/>
      </c>
      <c r="H77" s="100"/>
      <c r="M77" s="32">
        <f>IF(P77="No",IF(ISNUMBER(E77)=FALSE,1,0),0)</f>
        <v>0</v>
      </c>
      <c r="P77" s="32" t="str">
        <f>IF(COUNTIF(P74:P76,"No")&lt;&gt;0,"No","Yes")</f>
        <v>Yes</v>
      </c>
      <c r="T77" s="19"/>
    </row>
    <row r="78" spans="2:24" ht="15.95" customHeight="1" x14ac:dyDescent="0.2">
      <c r="B78" s="159"/>
      <c r="C78" s="159"/>
      <c r="D78" s="159"/>
      <c r="E78" s="570"/>
      <c r="F78" s="569"/>
      <c r="G78" s="162"/>
      <c r="H78" s="100"/>
      <c r="T78" s="19"/>
    </row>
    <row r="79" spans="2:24" ht="15.95" customHeight="1" x14ac:dyDescent="0.2">
      <c r="B79" s="330" t="str">
        <f>IF(P77="No",IF(ISNUMBER(E77)=TRUE,"Please note that your application will not proceed until all the required documentation is submitted",""),"")</f>
        <v/>
      </c>
      <c r="C79" s="219"/>
      <c r="D79" s="219"/>
      <c r="E79" s="219"/>
      <c r="F79" s="219"/>
      <c r="G79" s="162"/>
      <c r="H79" s="100"/>
      <c r="L79" s="69" t="s">
        <v>667</v>
      </c>
      <c r="M79" s="38" t="str">
        <f>IF(SUM(M36:M77)&lt;&gt;0,"Invalid","Valid")</f>
        <v>Invalid</v>
      </c>
      <c r="T79" s="19"/>
    </row>
    <row r="80" spans="2:24" ht="15.95" customHeight="1" x14ac:dyDescent="0.2">
      <c r="B80" s="159"/>
      <c r="C80" s="159"/>
      <c r="D80" s="159"/>
      <c r="E80" s="159"/>
      <c r="F80" s="159"/>
      <c r="G80" s="162"/>
      <c r="H80" s="100"/>
      <c r="T80" s="19"/>
    </row>
    <row r="81" spans="1:20" ht="15" x14ac:dyDescent="0.2">
      <c r="B81" s="551" t="str">
        <f>IF(COUNTIF($M$8:M80,"Invalid")=3,"Please Complete all Sections",IF(COUNTIF($M$8:M80,"Invalid")=0,"All Sections Completed",IF(COUNTIF($M$8:M80,"Invalid")&lt;3,"Please Ensure all sections are completed before progressing to the next section")))</f>
        <v>Please Complete all Sections</v>
      </c>
      <c r="C81" s="552"/>
      <c r="D81" s="553"/>
      <c r="E81" s="221"/>
      <c r="F81" s="552"/>
      <c r="Q81" s="32"/>
      <c r="T81" s="19"/>
    </row>
    <row r="82" spans="1:20" x14ac:dyDescent="0.2">
      <c r="Q82" s="32"/>
      <c r="T82" s="19"/>
    </row>
    <row r="88" spans="1:20" ht="15.95" customHeight="1" x14ac:dyDescent="0.2">
      <c r="B88" s="25"/>
      <c r="C88" s="25"/>
      <c r="D88" s="26"/>
      <c r="F88" s="27"/>
      <c r="G88" s="27"/>
      <c r="H88" s="100"/>
      <c r="T88" s="19"/>
    </row>
    <row r="89" spans="1:20" ht="15.95" customHeight="1" x14ac:dyDescent="0.2">
      <c r="B89" s="25"/>
      <c r="C89" s="25"/>
      <c r="D89" s="26"/>
      <c r="H89" s="27"/>
      <c r="S89" s="32"/>
      <c r="T89" s="19"/>
    </row>
    <row r="90" spans="1:20" ht="15.95" customHeight="1" x14ac:dyDescent="0.2">
      <c r="A90" s="27"/>
      <c r="B90" s="25"/>
      <c r="C90" s="25"/>
      <c r="D90" s="26"/>
      <c r="S90" s="32"/>
      <c r="T90" s="19"/>
    </row>
    <row r="91" spans="1:20" ht="15.95" customHeight="1" x14ac:dyDescent="0.2">
      <c r="B91" s="25"/>
      <c r="C91" s="25"/>
      <c r="D91" s="26"/>
      <c r="H91" s="94"/>
      <c r="S91" s="32"/>
      <c r="T91" s="19"/>
    </row>
    <row r="92" spans="1:20" ht="15.95" customHeight="1" x14ac:dyDescent="0.2">
      <c r="B92" s="25"/>
      <c r="C92" s="25"/>
      <c r="D92" s="26"/>
      <c r="H92" s="48"/>
    </row>
    <row r="93" spans="1:20" ht="15.95" customHeight="1" x14ac:dyDescent="0.2">
      <c r="B93" s="25"/>
      <c r="C93" s="25"/>
      <c r="D93" s="26"/>
      <c r="H93" s="48"/>
    </row>
    <row r="94" spans="1:20" ht="15.95" customHeight="1" x14ac:dyDescent="0.2">
      <c r="B94" s="25"/>
      <c r="C94" s="25"/>
      <c r="D94" s="26"/>
    </row>
    <row r="95" spans="1:20" ht="15.95" customHeight="1" x14ac:dyDescent="0.2">
      <c r="B95" s="25"/>
      <c r="C95" s="25"/>
      <c r="D95" s="26"/>
      <c r="H95" s="94"/>
    </row>
    <row r="96" spans="1:20" ht="15.95" customHeight="1" x14ac:dyDescent="0.2">
      <c r="B96" s="25"/>
      <c r="C96" s="25"/>
      <c r="D96" s="26"/>
      <c r="H96" s="94"/>
    </row>
    <row r="97" spans="1:8" ht="15.95" customHeight="1" x14ac:dyDescent="0.2">
      <c r="B97" s="25"/>
      <c r="C97" s="25"/>
      <c r="D97" s="26"/>
      <c r="H97" s="94"/>
    </row>
    <row r="98" spans="1:8" ht="15.95" customHeight="1" x14ac:dyDescent="0.2">
      <c r="A98" s="27"/>
      <c r="B98" s="25"/>
      <c r="C98" s="25"/>
      <c r="D98" s="26"/>
    </row>
    <row r="99" spans="1:8" ht="15.95" customHeight="1" x14ac:dyDescent="0.2">
      <c r="B99" s="25"/>
      <c r="C99" s="25"/>
      <c r="D99" s="26"/>
      <c r="H99" s="24"/>
    </row>
    <row r="100" spans="1:8" ht="15.95" customHeight="1" x14ac:dyDescent="0.2">
      <c r="B100" s="25"/>
      <c r="C100" s="25"/>
      <c r="D100" s="26"/>
      <c r="H100" s="94"/>
    </row>
    <row r="101" spans="1:8" ht="15.95" customHeight="1" x14ac:dyDescent="0.2">
      <c r="A101" s="27"/>
      <c r="B101" s="27"/>
      <c r="C101" s="27"/>
      <c r="D101" s="28"/>
      <c r="H101" s="27"/>
    </row>
    <row r="102" spans="1:8" ht="15.95" customHeight="1" x14ac:dyDescent="0.2">
      <c r="A102" s="27"/>
    </row>
    <row r="103" spans="1:8" ht="15.95" customHeight="1" x14ac:dyDescent="0.2">
      <c r="A103" s="27"/>
    </row>
    <row r="104" spans="1:8" ht="15.95" customHeight="1" x14ac:dyDescent="0.2">
      <c r="A104" s="27"/>
    </row>
    <row r="105" spans="1:8" ht="15.95" customHeight="1" x14ac:dyDescent="0.2">
      <c r="A105" s="27"/>
    </row>
    <row r="106" spans="1:8" ht="15.95" customHeight="1" x14ac:dyDescent="0.2">
      <c r="A106" s="27"/>
    </row>
    <row r="107" spans="1:8" ht="15.95" customHeight="1" x14ac:dyDescent="0.2">
      <c r="A107" s="27"/>
      <c r="H107" s="20"/>
    </row>
    <row r="108" spans="1:8" ht="15.95" customHeight="1" x14ac:dyDescent="0.2">
      <c r="H108" s="21"/>
    </row>
    <row r="109" spans="1:8" ht="15.95" customHeight="1" x14ac:dyDescent="0.2">
      <c r="H109" s="21"/>
    </row>
    <row r="110" spans="1:8" ht="15.95" customHeight="1" x14ac:dyDescent="0.2">
      <c r="H110" s="21"/>
    </row>
    <row r="111" spans="1:8" ht="15.95" customHeight="1" x14ac:dyDescent="0.2">
      <c r="H111" s="21"/>
    </row>
    <row r="112" spans="1:8" ht="15.95" customHeight="1" x14ac:dyDescent="0.2">
      <c r="H112" s="21"/>
    </row>
    <row r="113" spans="8:8" ht="15.95" customHeight="1" x14ac:dyDescent="0.2">
      <c r="H113" s="21"/>
    </row>
    <row r="114" spans="8:8" ht="15.95" customHeight="1" x14ac:dyDescent="0.2">
      <c r="H114" s="21"/>
    </row>
    <row r="115" spans="8:8" ht="15.95" customHeight="1" x14ac:dyDescent="0.2"/>
    <row r="116" spans="8:8" ht="15.95" customHeight="1" x14ac:dyDescent="0.2">
      <c r="H116" s="18"/>
    </row>
  </sheetData>
  <sheetProtection algorithmName="SHA-512" hashValue="ICcBdUK4tEZa7HiS/CIEj6tNalMIWL5gE1df+qxNZoImPI+WYlyzOmjA2ZgswheQ45e/S42fjtq+yTiir4xKtw==" saltValue="8eCyD2EONArkqnA/qf6UNA==" spinCount="100000" sheet="1" objects="1" scenarios="1" selectLockedCells="1"/>
  <mergeCells count="51">
    <mergeCell ref="B77:C77"/>
    <mergeCell ref="E77:F77"/>
    <mergeCell ref="B31:E31"/>
    <mergeCell ref="F31:G31"/>
    <mergeCell ref="B65:D65"/>
    <mergeCell ref="E65:F65"/>
    <mergeCell ref="B66:D66"/>
    <mergeCell ref="E66:F66"/>
    <mergeCell ref="B67:D67"/>
    <mergeCell ref="E67:F67"/>
    <mergeCell ref="B64:D64"/>
    <mergeCell ref="E64:F64"/>
    <mergeCell ref="B60:D60"/>
    <mergeCell ref="E60:F60"/>
    <mergeCell ref="B53:D53"/>
    <mergeCell ref="B54:D54"/>
    <mergeCell ref="M37:M38"/>
    <mergeCell ref="E54:F54"/>
    <mergeCell ref="E55:F55"/>
    <mergeCell ref="E53:F53"/>
    <mergeCell ref="E52:F52"/>
    <mergeCell ref="B8:F8"/>
    <mergeCell ref="B9:F9"/>
    <mergeCell ref="B10:G10"/>
    <mergeCell ref="T37:T38"/>
    <mergeCell ref="N37:N38"/>
    <mergeCell ref="O37:O38"/>
    <mergeCell ref="P37:P38"/>
    <mergeCell ref="Q37:R37"/>
    <mergeCell ref="F17:G17"/>
    <mergeCell ref="B19:F19"/>
    <mergeCell ref="E37:F37"/>
    <mergeCell ref="D37:D38"/>
    <mergeCell ref="F18:G18"/>
    <mergeCell ref="B21:G21"/>
    <mergeCell ref="B20:F20"/>
    <mergeCell ref="B36:E36"/>
    <mergeCell ref="E75:F75"/>
    <mergeCell ref="E76:F76"/>
    <mergeCell ref="B75:C75"/>
    <mergeCell ref="B76:C76"/>
    <mergeCell ref="C37:C38"/>
    <mergeCell ref="B37:B38"/>
    <mergeCell ref="E72:F72"/>
    <mergeCell ref="E74:F74"/>
    <mergeCell ref="B73:F73"/>
    <mergeCell ref="B72:C72"/>
    <mergeCell ref="B74:C74"/>
    <mergeCell ref="B59:F59"/>
    <mergeCell ref="B55:D55"/>
    <mergeCell ref="B52:D52"/>
  </mergeCells>
  <conditionalFormatting sqref="B23:G23">
    <cfRule type="expression" dxfId="138" priority="36">
      <formula>$U$23=1</formula>
    </cfRule>
  </conditionalFormatting>
  <conditionalFormatting sqref="B24:G24">
    <cfRule type="expression" dxfId="137" priority="35">
      <formula>$U$24=1</formula>
    </cfRule>
  </conditionalFormatting>
  <conditionalFormatting sqref="B25:G25">
    <cfRule type="expression" dxfId="136" priority="34">
      <formula>$U$25=1</formula>
    </cfRule>
  </conditionalFormatting>
  <conditionalFormatting sqref="B26:G26">
    <cfRule type="expression" dxfId="135" priority="33">
      <formula>$U$26=1</formula>
    </cfRule>
  </conditionalFormatting>
  <conditionalFormatting sqref="B17:G18">
    <cfRule type="expression" dxfId="134" priority="258">
      <formula>#REF!=1</formula>
    </cfRule>
  </conditionalFormatting>
  <conditionalFormatting sqref="B30:G30 B31 F31">
    <cfRule type="expression" dxfId="133" priority="256">
      <formula>#REF!=1</formula>
    </cfRule>
  </conditionalFormatting>
  <conditionalFormatting sqref="B15:G15">
    <cfRule type="expression" dxfId="132" priority="37">
      <formula>$U$15</formula>
    </cfRule>
  </conditionalFormatting>
  <conditionalFormatting sqref="B12:G12">
    <cfRule type="expression" dxfId="131" priority="40">
      <formula>$U$12=1</formula>
    </cfRule>
  </conditionalFormatting>
  <conditionalFormatting sqref="B13:G13">
    <cfRule type="expression" dxfId="130" priority="39">
      <formula>$U$13</formula>
    </cfRule>
  </conditionalFormatting>
  <conditionalFormatting sqref="B14:G14">
    <cfRule type="expression" dxfId="129" priority="38">
      <formula>$U$14=1</formula>
    </cfRule>
  </conditionalFormatting>
  <conditionalFormatting sqref="B39:F39">
    <cfRule type="expression" dxfId="128" priority="28">
      <formula>$T$39=1</formula>
    </cfRule>
  </conditionalFormatting>
  <conditionalFormatting sqref="B41:F41">
    <cfRule type="expression" dxfId="127" priority="27">
      <formula>$T$41=1</formula>
    </cfRule>
  </conditionalFormatting>
  <conditionalFormatting sqref="B40:F40">
    <cfRule type="expression" dxfId="126" priority="26">
      <formula>$T$40=1</formula>
    </cfRule>
  </conditionalFormatting>
  <conditionalFormatting sqref="B42:F42">
    <cfRule type="expression" dxfId="125" priority="25">
      <formula>$T$42=1</formula>
    </cfRule>
  </conditionalFormatting>
  <conditionalFormatting sqref="B43:F43">
    <cfRule type="expression" dxfId="124" priority="24">
      <formula>$T$43=1</formula>
    </cfRule>
  </conditionalFormatting>
  <conditionalFormatting sqref="B44:F44">
    <cfRule type="expression" dxfId="123" priority="23">
      <formula>$T$44=1</formula>
    </cfRule>
  </conditionalFormatting>
  <conditionalFormatting sqref="B45:F45">
    <cfRule type="expression" dxfId="122" priority="22">
      <formula>$T$45=1</formula>
    </cfRule>
  </conditionalFormatting>
  <conditionalFormatting sqref="B46:F46">
    <cfRule type="expression" dxfId="121" priority="21">
      <formula>$T$46=1</formula>
    </cfRule>
  </conditionalFormatting>
  <conditionalFormatting sqref="B47:F47">
    <cfRule type="expression" dxfId="120" priority="20">
      <formula>$T$47=1</formula>
    </cfRule>
  </conditionalFormatting>
  <conditionalFormatting sqref="B48:F48">
    <cfRule type="expression" dxfId="119" priority="19">
      <formula>$T$48=1</formula>
    </cfRule>
  </conditionalFormatting>
  <conditionalFormatting sqref="D28">
    <cfRule type="expression" dxfId="118" priority="17">
      <formula>#REF!=1</formula>
    </cfRule>
  </conditionalFormatting>
  <conditionalFormatting sqref="C23">
    <cfRule type="expression" dxfId="117" priority="14">
      <formula>$U$12=1</formula>
    </cfRule>
  </conditionalFormatting>
  <conditionalFormatting sqref="C24">
    <cfRule type="expression" dxfId="116" priority="13">
      <formula>$U$12=1</formula>
    </cfRule>
  </conditionalFormatting>
  <conditionalFormatting sqref="E53:E55">
    <cfRule type="expression" dxfId="115" priority="12">
      <formula>$T$53=1</formula>
    </cfRule>
  </conditionalFormatting>
  <conditionalFormatting sqref="E66:F67">
    <cfRule type="expression" dxfId="114" priority="4">
      <formula>$Q$65="N/A"</formula>
    </cfRule>
  </conditionalFormatting>
  <conditionalFormatting sqref="E77:F77">
    <cfRule type="expression" dxfId="113" priority="2">
      <formula>$Q$65="N/A"</formula>
    </cfRule>
  </conditionalFormatting>
  <conditionalFormatting sqref="B81">
    <cfRule type="expression" dxfId="112" priority="1">
      <formula>$B$81="All Sections Completed"</formula>
    </cfRule>
  </conditionalFormatting>
  <dataValidations count="12">
    <dataValidation type="list" allowBlank="1" showInputMessage="1" showErrorMessage="1" sqref="C12:C15 C23:C26">
      <formula1>SPM</formula1>
    </dataValidation>
    <dataValidation type="date" allowBlank="1" showInputMessage="1" showErrorMessage="1" sqref="E27:E29 E16">
      <formula1>40179</formula1>
      <formula2>109210</formula2>
    </dataValidation>
    <dataValidation type="list" allowBlank="1" showInputMessage="1" showErrorMessage="1" errorTitle="Direct Shareholders" error="Please only select values from the drop down menu provided" sqref="G9 G20">
      <formula1>Number2</formula1>
    </dataValidation>
    <dataValidation type="list" allowBlank="1" showInputMessage="1" showErrorMessage="1" errorTitle="Management" error="Please only select values from the drop down menu provided" sqref="F36">
      <formula1>Number1</formula1>
    </dataValidation>
    <dataValidation type="whole" allowBlank="1" showInputMessage="1" showErrorMessage="1" errorTitle="Annual (in days)" error="Please only input numerical data" sqref="F39:F48 G49:G50">
      <formula1>1</formula1>
      <formula2>366</formula2>
    </dataValidation>
    <dataValidation type="whole" allowBlank="1" showInputMessage="1" showErrorMessage="1" errorTitle="Monthly (in days)" error="Please only input numerical data_x000a_" sqref="E39">
      <formula1>0</formula1>
      <formula2>31</formula2>
    </dataValidation>
    <dataValidation type="date" allowBlank="1" showInputMessage="1" showErrorMessage="1" errorTitle="Indirect Shareholders - Date" error="Please only enter dates in the dd/mm/yyyy format.  All dates entered should be in the past" sqref="E23:E26">
      <formula1>25569</formula1>
      <formula2>109574</formula2>
    </dataValidation>
    <dataValidation type="whole" allowBlank="1" showInputMessage="1" showErrorMessage="1" errorTitle="Monthly (in days)" error="Please only input numerical data" sqref="F49:F50 E40:E48">
      <formula1>0</formula1>
      <formula2>31</formula2>
    </dataValidation>
    <dataValidation type="decimal" allowBlank="1" showInputMessage="1" showErrorMessage="1" sqref="D23:D26 D12:D15">
      <formula1>0</formula1>
      <formula2>1</formula2>
    </dataValidation>
    <dataValidation type="date" allowBlank="1" showInputMessage="1" showErrorMessage="1" errorTitle="Direct Shareholders - Dates" error="Please only enter dates in the dd/mm/yyyy format.  All dates entered should be in the past" sqref="E12:E15">
      <formula1>25569</formula1>
      <formula2>TODAY()+1</formula2>
    </dataValidation>
    <dataValidation type="date" allowBlank="1" showInputMessage="1" showErrorMessage="1" errorTitle="Date" error="Please only enter dates in the dd/mm/yyyy format" sqref="E55 E67 E77">
      <formula1>TODAY()-30</formula1>
      <formula2>TODAY()+7500</formula2>
    </dataValidation>
    <dataValidation type="textLength" operator="lessThan" allowBlank="1" showInputMessage="1" showErrorMessage="1" errorTitle="Cell Values" error="Please do not enter any data into this cell_x000a_" sqref="F78">
      <formula1>1</formula1>
    </dataValidation>
  </dataValidation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3795" r:id="rId4" name="Check Box 3">
              <controlPr defaultSize="0" autoFill="0" autoLine="0" autoPict="0">
                <anchor moveWithCells="1">
                  <from>
                    <xdr:col>5</xdr:col>
                    <xdr:colOff>1057275</xdr:colOff>
                    <xdr:row>11</xdr:row>
                    <xdr:rowOff>0</xdr:rowOff>
                  </from>
                  <to>
                    <xdr:col>5</xdr:col>
                    <xdr:colOff>1485900</xdr:colOff>
                    <xdr:row>11</xdr:row>
                    <xdr:rowOff>400050</xdr:rowOff>
                  </to>
                </anchor>
              </controlPr>
            </control>
          </mc:Choice>
        </mc:AlternateContent>
        <mc:AlternateContent xmlns:mc="http://schemas.openxmlformats.org/markup-compatibility/2006">
          <mc:Choice Requires="x14">
            <control shapeId="34035" r:id="rId5" name="Check Box 243">
              <controlPr defaultSize="0" autoFill="0" autoLine="0" autoPict="0">
                <anchor moveWithCells="1">
                  <from>
                    <xdr:col>6</xdr:col>
                    <xdr:colOff>276225</xdr:colOff>
                    <xdr:row>11</xdr:row>
                    <xdr:rowOff>9525</xdr:rowOff>
                  </from>
                  <to>
                    <xdr:col>6</xdr:col>
                    <xdr:colOff>704850</xdr:colOff>
                    <xdr:row>12</xdr:row>
                    <xdr:rowOff>9525</xdr:rowOff>
                  </to>
                </anchor>
              </controlPr>
            </control>
          </mc:Choice>
        </mc:AlternateContent>
        <mc:AlternateContent xmlns:mc="http://schemas.openxmlformats.org/markup-compatibility/2006">
          <mc:Choice Requires="x14">
            <control shapeId="34036" r:id="rId6" name="Check Box 244">
              <controlPr defaultSize="0" autoFill="0" autoLine="0" autoPict="0">
                <anchor moveWithCells="1">
                  <from>
                    <xdr:col>6</xdr:col>
                    <xdr:colOff>1057275</xdr:colOff>
                    <xdr:row>11</xdr:row>
                    <xdr:rowOff>9525</xdr:rowOff>
                  </from>
                  <to>
                    <xdr:col>6</xdr:col>
                    <xdr:colOff>1485900</xdr:colOff>
                    <xdr:row>12</xdr:row>
                    <xdr:rowOff>9525</xdr:rowOff>
                  </to>
                </anchor>
              </controlPr>
            </control>
          </mc:Choice>
        </mc:AlternateContent>
        <mc:AlternateContent xmlns:mc="http://schemas.openxmlformats.org/markup-compatibility/2006">
          <mc:Choice Requires="x14">
            <control shapeId="34153" r:id="rId7" name="Check Box 361">
              <controlPr defaultSize="0" autoFill="0" autoLine="0" autoPict="0">
                <anchor moveWithCells="1">
                  <from>
                    <xdr:col>5</xdr:col>
                    <xdr:colOff>266700</xdr:colOff>
                    <xdr:row>12</xdr:row>
                    <xdr:rowOff>9525</xdr:rowOff>
                  </from>
                  <to>
                    <xdr:col>5</xdr:col>
                    <xdr:colOff>695325</xdr:colOff>
                    <xdr:row>13</xdr:row>
                    <xdr:rowOff>9525</xdr:rowOff>
                  </to>
                </anchor>
              </controlPr>
            </control>
          </mc:Choice>
        </mc:AlternateContent>
        <mc:AlternateContent xmlns:mc="http://schemas.openxmlformats.org/markup-compatibility/2006">
          <mc:Choice Requires="x14">
            <control shapeId="34154" r:id="rId8" name="Check Box 362">
              <controlPr defaultSize="0" autoFill="0" autoLine="0" autoPict="0">
                <anchor moveWithCells="1">
                  <from>
                    <xdr:col>5</xdr:col>
                    <xdr:colOff>1057275</xdr:colOff>
                    <xdr:row>12</xdr:row>
                    <xdr:rowOff>9525</xdr:rowOff>
                  </from>
                  <to>
                    <xdr:col>5</xdr:col>
                    <xdr:colOff>1485900</xdr:colOff>
                    <xdr:row>13</xdr:row>
                    <xdr:rowOff>9525</xdr:rowOff>
                  </to>
                </anchor>
              </controlPr>
            </control>
          </mc:Choice>
        </mc:AlternateContent>
        <mc:AlternateContent xmlns:mc="http://schemas.openxmlformats.org/markup-compatibility/2006">
          <mc:Choice Requires="x14">
            <control shapeId="34155" r:id="rId9" name="Check Box 363">
              <controlPr defaultSize="0" autoFill="0" autoLine="0" autoPict="0">
                <anchor moveWithCells="1">
                  <from>
                    <xdr:col>6</xdr:col>
                    <xdr:colOff>276225</xdr:colOff>
                    <xdr:row>12</xdr:row>
                    <xdr:rowOff>0</xdr:rowOff>
                  </from>
                  <to>
                    <xdr:col>6</xdr:col>
                    <xdr:colOff>704850</xdr:colOff>
                    <xdr:row>12</xdr:row>
                    <xdr:rowOff>400050</xdr:rowOff>
                  </to>
                </anchor>
              </controlPr>
            </control>
          </mc:Choice>
        </mc:AlternateContent>
        <mc:AlternateContent xmlns:mc="http://schemas.openxmlformats.org/markup-compatibility/2006">
          <mc:Choice Requires="x14">
            <control shapeId="34156" r:id="rId10" name="Check Box 364">
              <controlPr defaultSize="0" autoFill="0" autoLine="0" autoPict="0">
                <anchor moveWithCells="1">
                  <from>
                    <xdr:col>6</xdr:col>
                    <xdr:colOff>1057275</xdr:colOff>
                    <xdr:row>12</xdr:row>
                    <xdr:rowOff>0</xdr:rowOff>
                  </from>
                  <to>
                    <xdr:col>6</xdr:col>
                    <xdr:colOff>1485900</xdr:colOff>
                    <xdr:row>12</xdr:row>
                    <xdr:rowOff>400050</xdr:rowOff>
                  </to>
                </anchor>
              </controlPr>
            </control>
          </mc:Choice>
        </mc:AlternateContent>
        <mc:AlternateContent xmlns:mc="http://schemas.openxmlformats.org/markup-compatibility/2006">
          <mc:Choice Requires="x14">
            <control shapeId="34159" r:id="rId11" name="Check Box 367">
              <controlPr defaultSize="0" autoFill="0" autoLine="0" autoPict="0">
                <anchor moveWithCells="1">
                  <from>
                    <xdr:col>5</xdr:col>
                    <xdr:colOff>266700</xdr:colOff>
                    <xdr:row>13</xdr:row>
                    <xdr:rowOff>0</xdr:rowOff>
                  </from>
                  <to>
                    <xdr:col>5</xdr:col>
                    <xdr:colOff>695325</xdr:colOff>
                    <xdr:row>13</xdr:row>
                    <xdr:rowOff>400050</xdr:rowOff>
                  </to>
                </anchor>
              </controlPr>
            </control>
          </mc:Choice>
        </mc:AlternateContent>
        <mc:AlternateContent xmlns:mc="http://schemas.openxmlformats.org/markup-compatibility/2006">
          <mc:Choice Requires="x14">
            <control shapeId="34160" r:id="rId12" name="Check Box 368">
              <controlPr defaultSize="0" autoFill="0" autoLine="0" autoPict="0">
                <anchor moveWithCells="1">
                  <from>
                    <xdr:col>5</xdr:col>
                    <xdr:colOff>1057275</xdr:colOff>
                    <xdr:row>13</xdr:row>
                    <xdr:rowOff>9525</xdr:rowOff>
                  </from>
                  <to>
                    <xdr:col>5</xdr:col>
                    <xdr:colOff>1485900</xdr:colOff>
                    <xdr:row>14</xdr:row>
                    <xdr:rowOff>9525</xdr:rowOff>
                  </to>
                </anchor>
              </controlPr>
            </control>
          </mc:Choice>
        </mc:AlternateContent>
        <mc:AlternateContent xmlns:mc="http://schemas.openxmlformats.org/markup-compatibility/2006">
          <mc:Choice Requires="x14">
            <control shapeId="34161" r:id="rId13" name="Check Box 369">
              <controlPr defaultSize="0" autoFill="0" autoLine="0" autoPict="0">
                <anchor moveWithCells="1">
                  <from>
                    <xdr:col>6</xdr:col>
                    <xdr:colOff>276225</xdr:colOff>
                    <xdr:row>13</xdr:row>
                    <xdr:rowOff>9525</xdr:rowOff>
                  </from>
                  <to>
                    <xdr:col>6</xdr:col>
                    <xdr:colOff>704850</xdr:colOff>
                    <xdr:row>14</xdr:row>
                    <xdr:rowOff>9525</xdr:rowOff>
                  </to>
                </anchor>
              </controlPr>
            </control>
          </mc:Choice>
        </mc:AlternateContent>
        <mc:AlternateContent xmlns:mc="http://schemas.openxmlformats.org/markup-compatibility/2006">
          <mc:Choice Requires="x14">
            <control shapeId="34162" r:id="rId14" name="Check Box 370">
              <controlPr defaultSize="0" autoFill="0" autoLine="0" autoPict="0">
                <anchor moveWithCells="1">
                  <from>
                    <xdr:col>6</xdr:col>
                    <xdr:colOff>1057275</xdr:colOff>
                    <xdr:row>13</xdr:row>
                    <xdr:rowOff>9525</xdr:rowOff>
                  </from>
                  <to>
                    <xdr:col>6</xdr:col>
                    <xdr:colOff>1485900</xdr:colOff>
                    <xdr:row>14</xdr:row>
                    <xdr:rowOff>9525</xdr:rowOff>
                  </to>
                </anchor>
              </controlPr>
            </control>
          </mc:Choice>
        </mc:AlternateContent>
        <mc:AlternateContent xmlns:mc="http://schemas.openxmlformats.org/markup-compatibility/2006">
          <mc:Choice Requires="x14">
            <control shapeId="34165" r:id="rId15" name="Check Box 373">
              <controlPr defaultSize="0" autoFill="0" autoLine="0" autoPict="0">
                <anchor moveWithCells="1">
                  <from>
                    <xdr:col>5</xdr:col>
                    <xdr:colOff>266700</xdr:colOff>
                    <xdr:row>14</xdr:row>
                    <xdr:rowOff>0</xdr:rowOff>
                  </from>
                  <to>
                    <xdr:col>5</xdr:col>
                    <xdr:colOff>695325</xdr:colOff>
                    <xdr:row>14</xdr:row>
                    <xdr:rowOff>400050</xdr:rowOff>
                  </to>
                </anchor>
              </controlPr>
            </control>
          </mc:Choice>
        </mc:AlternateContent>
        <mc:AlternateContent xmlns:mc="http://schemas.openxmlformats.org/markup-compatibility/2006">
          <mc:Choice Requires="x14">
            <control shapeId="34166" r:id="rId16" name="Check Box 374">
              <controlPr defaultSize="0" autoFill="0" autoLine="0" autoPict="0">
                <anchor moveWithCells="1">
                  <from>
                    <xdr:col>5</xdr:col>
                    <xdr:colOff>1057275</xdr:colOff>
                    <xdr:row>14</xdr:row>
                    <xdr:rowOff>9525</xdr:rowOff>
                  </from>
                  <to>
                    <xdr:col>5</xdr:col>
                    <xdr:colOff>1485900</xdr:colOff>
                    <xdr:row>15</xdr:row>
                    <xdr:rowOff>9525</xdr:rowOff>
                  </to>
                </anchor>
              </controlPr>
            </control>
          </mc:Choice>
        </mc:AlternateContent>
        <mc:AlternateContent xmlns:mc="http://schemas.openxmlformats.org/markup-compatibility/2006">
          <mc:Choice Requires="x14">
            <control shapeId="34167" r:id="rId17" name="Check Box 375">
              <controlPr defaultSize="0" autoFill="0" autoLine="0" autoPict="0">
                <anchor moveWithCells="1">
                  <from>
                    <xdr:col>6</xdr:col>
                    <xdr:colOff>276225</xdr:colOff>
                    <xdr:row>14</xdr:row>
                    <xdr:rowOff>9525</xdr:rowOff>
                  </from>
                  <to>
                    <xdr:col>6</xdr:col>
                    <xdr:colOff>704850</xdr:colOff>
                    <xdr:row>15</xdr:row>
                    <xdr:rowOff>9525</xdr:rowOff>
                  </to>
                </anchor>
              </controlPr>
            </control>
          </mc:Choice>
        </mc:AlternateContent>
        <mc:AlternateContent xmlns:mc="http://schemas.openxmlformats.org/markup-compatibility/2006">
          <mc:Choice Requires="x14">
            <control shapeId="34168" r:id="rId18" name="Check Box 376">
              <controlPr defaultSize="0" autoFill="0" autoLine="0" autoPict="0">
                <anchor moveWithCells="1">
                  <from>
                    <xdr:col>6</xdr:col>
                    <xdr:colOff>1057275</xdr:colOff>
                    <xdr:row>14</xdr:row>
                    <xdr:rowOff>9525</xdr:rowOff>
                  </from>
                  <to>
                    <xdr:col>6</xdr:col>
                    <xdr:colOff>1485900</xdr:colOff>
                    <xdr:row>15</xdr:row>
                    <xdr:rowOff>9525</xdr:rowOff>
                  </to>
                </anchor>
              </controlPr>
            </control>
          </mc:Choice>
        </mc:AlternateContent>
        <mc:AlternateContent xmlns:mc="http://schemas.openxmlformats.org/markup-compatibility/2006">
          <mc:Choice Requires="x14">
            <control shapeId="34207" r:id="rId19" name="Check Box 415">
              <controlPr defaultSize="0" autoFill="0" autoLine="0" autoPict="0">
                <anchor moveWithCells="1">
                  <from>
                    <xdr:col>5</xdr:col>
                    <xdr:colOff>276225</xdr:colOff>
                    <xdr:row>22</xdr:row>
                    <xdr:rowOff>9525</xdr:rowOff>
                  </from>
                  <to>
                    <xdr:col>5</xdr:col>
                    <xdr:colOff>704850</xdr:colOff>
                    <xdr:row>23</xdr:row>
                    <xdr:rowOff>9525</xdr:rowOff>
                  </to>
                </anchor>
              </controlPr>
            </control>
          </mc:Choice>
        </mc:AlternateContent>
        <mc:AlternateContent xmlns:mc="http://schemas.openxmlformats.org/markup-compatibility/2006">
          <mc:Choice Requires="x14">
            <control shapeId="34208" r:id="rId20" name="Check Box 416">
              <controlPr defaultSize="0" autoFill="0" autoLine="0" autoPict="0">
                <anchor moveWithCells="1">
                  <from>
                    <xdr:col>5</xdr:col>
                    <xdr:colOff>1057275</xdr:colOff>
                    <xdr:row>22</xdr:row>
                    <xdr:rowOff>9525</xdr:rowOff>
                  </from>
                  <to>
                    <xdr:col>5</xdr:col>
                    <xdr:colOff>1485900</xdr:colOff>
                    <xdr:row>23</xdr:row>
                    <xdr:rowOff>9525</xdr:rowOff>
                  </to>
                </anchor>
              </controlPr>
            </control>
          </mc:Choice>
        </mc:AlternateContent>
        <mc:AlternateContent xmlns:mc="http://schemas.openxmlformats.org/markup-compatibility/2006">
          <mc:Choice Requires="x14">
            <control shapeId="34209" r:id="rId21" name="Check Box 417">
              <controlPr defaultSize="0" autoFill="0" autoLine="0" autoPict="0">
                <anchor moveWithCells="1">
                  <from>
                    <xdr:col>6</xdr:col>
                    <xdr:colOff>276225</xdr:colOff>
                    <xdr:row>22</xdr:row>
                    <xdr:rowOff>9525</xdr:rowOff>
                  </from>
                  <to>
                    <xdr:col>6</xdr:col>
                    <xdr:colOff>704850</xdr:colOff>
                    <xdr:row>23</xdr:row>
                    <xdr:rowOff>9525</xdr:rowOff>
                  </to>
                </anchor>
              </controlPr>
            </control>
          </mc:Choice>
        </mc:AlternateContent>
        <mc:AlternateContent xmlns:mc="http://schemas.openxmlformats.org/markup-compatibility/2006">
          <mc:Choice Requires="x14">
            <control shapeId="34210" r:id="rId22" name="Check Box 418">
              <controlPr defaultSize="0" autoFill="0" autoLine="0" autoPict="0">
                <anchor moveWithCells="1">
                  <from>
                    <xdr:col>6</xdr:col>
                    <xdr:colOff>1057275</xdr:colOff>
                    <xdr:row>22</xdr:row>
                    <xdr:rowOff>9525</xdr:rowOff>
                  </from>
                  <to>
                    <xdr:col>6</xdr:col>
                    <xdr:colOff>1485900</xdr:colOff>
                    <xdr:row>23</xdr:row>
                    <xdr:rowOff>9525</xdr:rowOff>
                  </to>
                </anchor>
              </controlPr>
            </control>
          </mc:Choice>
        </mc:AlternateContent>
        <mc:AlternateContent xmlns:mc="http://schemas.openxmlformats.org/markup-compatibility/2006">
          <mc:Choice Requires="x14">
            <control shapeId="34213" r:id="rId23" name="Check Box 421">
              <controlPr defaultSize="0" autoFill="0" autoLine="0" autoPict="0">
                <anchor moveWithCells="1">
                  <from>
                    <xdr:col>5</xdr:col>
                    <xdr:colOff>276225</xdr:colOff>
                    <xdr:row>23</xdr:row>
                    <xdr:rowOff>9525</xdr:rowOff>
                  </from>
                  <to>
                    <xdr:col>5</xdr:col>
                    <xdr:colOff>704850</xdr:colOff>
                    <xdr:row>24</xdr:row>
                    <xdr:rowOff>9525</xdr:rowOff>
                  </to>
                </anchor>
              </controlPr>
            </control>
          </mc:Choice>
        </mc:AlternateContent>
        <mc:AlternateContent xmlns:mc="http://schemas.openxmlformats.org/markup-compatibility/2006">
          <mc:Choice Requires="x14">
            <control shapeId="34214" r:id="rId24" name="Check Box 422">
              <controlPr defaultSize="0" autoFill="0" autoLine="0" autoPict="0">
                <anchor moveWithCells="1">
                  <from>
                    <xdr:col>5</xdr:col>
                    <xdr:colOff>1057275</xdr:colOff>
                    <xdr:row>23</xdr:row>
                    <xdr:rowOff>9525</xdr:rowOff>
                  </from>
                  <to>
                    <xdr:col>5</xdr:col>
                    <xdr:colOff>1485900</xdr:colOff>
                    <xdr:row>24</xdr:row>
                    <xdr:rowOff>9525</xdr:rowOff>
                  </to>
                </anchor>
              </controlPr>
            </control>
          </mc:Choice>
        </mc:AlternateContent>
        <mc:AlternateContent xmlns:mc="http://schemas.openxmlformats.org/markup-compatibility/2006">
          <mc:Choice Requires="x14">
            <control shapeId="34215" r:id="rId25" name="Check Box 423">
              <controlPr defaultSize="0" autoFill="0" autoLine="0" autoPict="0">
                <anchor moveWithCells="1">
                  <from>
                    <xdr:col>6</xdr:col>
                    <xdr:colOff>276225</xdr:colOff>
                    <xdr:row>23</xdr:row>
                    <xdr:rowOff>9525</xdr:rowOff>
                  </from>
                  <to>
                    <xdr:col>6</xdr:col>
                    <xdr:colOff>704850</xdr:colOff>
                    <xdr:row>24</xdr:row>
                    <xdr:rowOff>9525</xdr:rowOff>
                  </to>
                </anchor>
              </controlPr>
            </control>
          </mc:Choice>
        </mc:AlternateContent>
        <mc:AlternateContent xmlns:mc="http://schemas.openxmlformats.org/markup-compatibility/2006">
          <mc:Choice Requires="x14">
            <control shapeId="34216" r:id="rId26" name="Check Box 424">
              <controlPr defaultSize="0" autoFill="0" autoLine="0" autoPict="0">
                <anchor moveWithCells="1">
                  <from>
                    <xdr:col>6</xdr:col>
                    <xdr:colOff>1057275</xdr:colOff>
                    <xdr:row>23</xdr:row>
                    <xdr:rowOff>0</xdr:rowOff>
                  </from>
                  <to>
                    <xdr:col>6</xdr:col>
                    <xdr:colOff>1485900</xdr:colOff>
                    <xdr:row>24</xdr:row>
                    <xdr:rowOff>0</xdr:rowOff>
                  </to>
                </anchor>
              </controlPr>
            </control>
          </mc:Choice>
        </mc:AlternateContent>
        <mc:AlternateContent xmlns:mc="http://schemas.openxmlformats.org/markup-compatibility/2006">
          <mc:Choice Requires="x14">
            <control shapeId="34219" r:id="rId27" name="Check Box 427">
              <controlPr defaultSize="0" autoFill="0" autoLine="0" autoPict="0">
                <anchor moveWithCells="1">
                  <from>
                    <xdr:col>5</xdr:col>
                    <xdr:colOff>276225</xdr:colOff>
                    <xdr:row>24</xdr:row>
                    <xdr:rowOff>9525</xdr:rowOff>
                  </from>
                  <to>
                    <xdr:col>5</xdr:col>
                    <xdr:colOff>704850</xdr:colOff>
                    <xdr:row>25</xdr:row>
                    <xdr:rowOff>9525</xdr:rowOff>
                  </to>
                </anchor>
              </controlPr>
            </control>
          </mc:Choice>
        </mc:AlternateContent>
        <mc:AlternateContent xmlns:mc="http://schemas.openxmlformats.org/markup-compatibility/2006">
          <mc:Choice Requires="x14">
            <control shapeId="34220" r:id="rId28" name="Check Box 428">
              <controlPr defaultSize="0" autoFill="0" autoLine="0" autoPict="0">
                <anchor moveWithCells="1">
                  <from>
                    <xdr:col>5</xdr:col>
                    <xdr:colOff>1057275</xdr:colOff>
                    <xdr:row>24</xdr:row>
                    <xdr:rowOff>0</xdr:rowOff>
                  </from>
                  <to>
                    <xdr:col>5</xdr:col>
                    <xdr:colOff>1485900</xdr:colOff>
                    <xdr:row>25</xdr:row>
                    <xdr:rowOff>0</xdr:rowOff>
                  </to>
                </anchor>
              </controlPr>
            </control>
          </mc:Choice>
        </mc:AlternateContent>
        <mc:AlternateContent xmlns:mc="http://schemas.openxmlformats.org/markup-compatibility/2006">
          <mc:Choice Requires="x14">
            <control shapeId="34221" r:id="rId29" name="Check Box 429">
              <controlPr defaultSize="0" autoFill="0" autoLine="0" autoPict="0">
                <anchor moveWithCells="1">
                  <from>
                    <xdr:col>6</xdr:col>
                    <xdr:colOff>276225</xdr:colOff>
                    <xdr:row>24</xdr:row>
                    <xdr:rowOff>0</xdr:rowOff>
                  </from>
                  <to>
                    <xdr:col>6</xdr:col>
                    <xdr:colOff>704850</xdr:colOff>
                    <xdr:row>25</xdr:row>
                    <xdr:rowOff>0</xdr:rowOff>
                  </to>
                </anchor>
              </controlPr>
            </control>
          </mc:Choice>
        </mc:AlternateContent>
        <mc:AlternateContent xmlns:mc="http://schemas.openxmlformats.org/markup-compatibility/2006">
          <mc:Choice Requires="x14">
            <control shapeId="34222" r:id="rId30" name="Check Box 430">
              <controlPr defaultSize="0" autoFill="0" autoLine="0" autoPict="0">
                <anchor moveWithCells="1">
                  <from>
                    <xdr:col>6</xdr:col>
                    <xdr:colOff>1057275</xdr:colOff>
                    <xdr:row>24</xdr:row>
                    <xdr:rowOff>9525</xdr:rowOff>
                  </from>
                  <to>
                    <xdr:col>6</xdr:col>
                    <xdr:colOff>1485900</xdr:colOff>
                    <xdr:row>25</xdr:row>
                    <xdr:rowOff>9525</xdr:rowOff>
                  </to>
                </anchor>
              </controlPr>
            </control>
          </mc:Choice>
        </mc:AlternateContent>
        <mc:AlternateContent xmlns:mc="http://schemas.openxmlformats.org/markup-compatibility/2006">
          <mc:Choice Requires="x14">
            <control shapeId="34225" r:id="rId31" name="Check Box 433">
              <controlPr defaultSize="0" autoFill="0" autoLine="0" autoPict="0">
                <anchor moveWithCells="1">
                  <from>
                    <xdr:col>5</xdr:col>
                    <xdr:colOff>276225</xdr:colOff>
                    <xdr:row>25</xdr:row>
                    <xdr:rowOff>0</xdr:rowOff>
                  </from>
                  <to>
                    <xdr:col>5</xdr:col>
                    <xdr:colOff>704850</xdr:colOff>
                    <xdr:row>26</xdr:row>
                    <xdr:rowOff>0</xdr:rowOff>
                  </to>
                </anchor>
              </controlPr>
            </control>
          </mc:Choice>
        </mc:AlternateContent>
        <mc:AlternateContent xmlns:mc="http://schemas.openxmlformats.org/markup-compatibility/2006">
          <mc:Choice Requires="x14">
            <control shapeId="34226" r:id="rId32" name="Check Box 434">
              <controlPr defaultSize="0" autoFill="0" autoLine="0" autoPict="0">
                <anchor moveWithCells="1">
                  <from>
                    <xdr:col>5</xdr:col>
                    <xdr:colOff>1057275</xdr:colOff>
                    <xdr:row>25</xdr:row>
                    <xdr:rowOff>9525</xdr:rowOff>
                  </from>
                  <to>
                    <xdr:col>5</xdr:col>
                    <xdr:colOff>1485900</xdr:colOff>
                    <xdr:row>26</xdr:row>
                    <xdr:rowOff>9525</xdr:rowOff>
                  </to>
                </anchor>
              </controlPr>
            </control>
          </mc:Choice>
        </mc:AlternateContent>
        <mc:AlternateContent xmlns:mc="http://schemas.openxmlformats.org/markup-compatibility/2006">
          <mc:Choice Requires="x14">
            <control shapeId="34227" r:id="rId33" name="Check Box 435">
              <controlPr defaultSize="0" autoFill="0" autoLine="0" autoPict="0">
                <anchor moveWithCells="1">
                  <from>
                    <xdr:col>6</xdr:col>
                    <xdr:colOff>276225</xdr:colOff>
                    <xdr:row>25</xdr:row>
                    <xdr:rowOff>9525</xdr:rowOff>
                  </from>
                  <to>
                    <xdr:col>6</xdr:col>
                    <xdr:colOff>704850</xdr:colOff>
                    <xdr:row>26</xdr:row>
                    <xdr:rowOff>9525</xdr:rowOff>
                  </to>
                </anchor>
              </controlPr>
            </control>
          </mc:Choice>
        </mc:AlternateContent>
        <mc:AlternateContent xmlns:mc="http://schemas.openxmlformats.org/markup-compatibility/2006">
          <mc:Choice Requires="x14">
            <control shapeId="34228" r:id="rId34" name="Check Box 436">
              <controlPr defaultSize="0" autoFill="0" autoLine="0" autoPict="0">
                <anchor moveWithCells="1">
                  <from>
                    <xdr:col>6</xdr:col>
                    <xdr:colOff>1057275</xdr:colOff>
                    <xdr:row>25</xdr:row>
                    <xdr:rowOff>9525</xdr:rowOff>
                  </from>
                  <to>
                    <xdr:col>6</xdr:col>
                    <xdr:colOff>1485900</xdr:colOff>
                    <xdr:row>26</xdr:row>
                    <xdr:rowOff>9525</xdr:rowOff>
                  </to>
                </anchor>
              </controlPr>
            </control>
          </mc:Choice>
        </mc:AlternateContent>
        <mc:AlternateContent xmlns:mc="http://schemas.openxmlformats.org/markup-compatibility/2006">
          <mc:Choice Requires="x14">
            <control shapeId="34586" r:id="rId35" name="Check Box 794">
              <controlPr defaultSize="0" autoFill="0" autoLine="0" autoPict="0">
                <anchor moveWithCells="1">
                  <from>
                    <xdr:col>5</xdr:col>
                    <xdr:colOff>952500</xdr:colOff>
                    <xdr:row>30</xdr:row>
                    <xdr:rowOff>9525</xdr:rowOff>
                  </from>
                  <to>
                    <xdr:col>6</xdr:col>
                    <xdr:colOff>314325</xdr:colOff>
                    <xdr:row>30</xdr:row>
                    <xdr:rowOff>600075</xdr:rowOff>
                  </to>
                </anchor>
              </controlPr>
            </control>
          </mc:Choice>
        </mc:AlternateContent>
        <mc:AlternateContent xmlns:mc="http://schemas.openxmlformats.org/markup-compatibility/2006">
          <mc:Choice Requires="x14">
            <control shapeId="34587" r:id="rId36" name="Check Box 795">
              <controlPr defaultSize="0" autoFill="0" autoLine="0" autoPict="0">
                <anchor moveWithCells="1">
                  <from>
                    <xdr:col>6</xdr:col>
                    <xdr:colOff>333375</xdr:colOff>
                    <xdr:row>30</xdr:row>
                    <xdr:rowOff>9525</xdr:rowOff>
                  </from>
                  <to>
                    <xdr:col>6</xdr:col>
                    <xdr:colOff>1409700</xdr:colOff>
                    <xdr:row>30</xdr:row>
                    <xdr:rowOff>600075</xdr:rowOff>
                  </to>
                </anchor>
              </controlPr>
            </control>
          </mc:Choice>
        </mc:AlternateContent>
        <mc:AlternateContent xmlns:mc="http://schemas.openxmlformats.org/markup-compatibility/2006">
          <mc:Choice Requires="x14">
            <control shapeId="34595" r:id="rId37" name="Check Box 803">
              <controlPr defaultSize="0" autoFill="0" autoLine="0" autoPict="0">
                <anchor moveWithCells="1">
                  <from>
                    <xdr:col>3</xdr:col>
                    <xdr:colOff>276225</xdr:colOff>
                    <xdr:row>73</xdr:row>
                    <xdr:rowOff>9525</xdr:rowOff>
                  </from>
                  <to>
                    <xdr:col>3</xdr:col>
                    <xdr:colOff>847725</xdr:colOff>
                    <xdr:row>74</xdr:row>
                    <xdr:rowOff>0</xdr:rowOff>
                  </to>
                </anchor>
              </controlPr>
            </control>
          </mc:Choice>
        </mc:AlternateContent>
        <mc:AlternateContent xmlns:mc="http://schemas.openxmlformats.org/markup-compatibility/2006">
          <mc:Choice Requires="x14">
            <control shapeId="34596" r:id="rId38" name="Check Box 804">
              <controlPr defaultSize="0" autoFill="0" autoLine="0" autoPict="0">
                <anchor moveWithCells="1">
                  <from>
                    <xdr:col>3</xdr:col>
                    <xdr:colOff>1038225</xdr:colOff>
                    <xdr:row>73</xdr:row>
                    <xdr:rowOff>9525</xdr:rowOff>
                  </from>
                  <to>
                    <xdr:col>3</xdr:col>
                    <xdr:colOff>1619250</xdr:colOff>
                    <xdr:row>74</xdr:row>
                    <xdr:rowOff>0</xdr:rowOff>
                  </to>
                </anchor>
              </controlPr>
            </control>
          </mc:Choice>
        </mc:AlternateContent>
        <mc:AlternateContent xmlns:mc="http://schemas.openxmlformats.org/markup-compatibility/2006">
          <mc:Choice Requires="x14">
            <control shapeId="34598" r:id="rId39" name="Check Box 806">
              <controlPr defaultSize="0" autoFill="0" autoLine="0" autoPict="0">
                <anchor moveWithCells="1">
                  <from>
                    <xdr:col>3</xdr:col>
                    <xdr:colOff>276225</xdr:colOff>
                    <xdr:row>74</xdr:row>
                    <xdr:rowOff>9525</xdr:rowOff>
                  </from>
                  <to>
                    <xdr:col>3</xdr:col>
                    <xdr:colOff>847725</xdr:colOff>
                    <xdr:row>75</xdr:row>
                    <xdr:rowOff>0</xdr:rowOff>
                  </to>
                </anchor>
              </controlPr>
            </control>
          </mc:Choice>
        </mc:AlternateContent>
        <mc:AlternateContent xmlns:mc="http://schemas.openxmlformats.org/markup-compatibility/2006">
          <mc:Choice Requires="x14">
            <control shapeId="34599" r:id="rId40" name="Check Box 807">
              <controlPr defaultSize="0" autoFill="0" autoLine="0" autoPict="0">
                <anchor moveWithCells="1">
                  <from>
                    <xdr:col>3</xdr:col>
                    <xdr:colOff>1038225</xdr:colOff>
                    <xdr:row>74</xdr:row>
                    <xdr:rowOff>9525</xdr:rowOff>
                  </from>
                  <to>
                    <xdr:col>3</xdr:col>
                    <xdr:colOff>1619250</xdr:colOff>
                    <xdr:row>74</xdr:row>
                    <xdr:rowOff>495300</xdr:rowOff>
                  </to>
                </anchor>
              </controlPr>
            </control>
          </mc:Choice>
        </mc:AlternateContent>
        <mc:AlternateContent xmlns:mc="http://schemas.openxmlformats.org/markup-compatibility/2006">
          <mc:Choice Requires="x14">
            <control shapeId="34604" r:id="rId41" name="Check Box 812">
              <controlPr defaultSize="0" autoFill="0" autoLine="0" autoPict="0">
                <anchor moveWithCells="1">
                  <from>
                    <xdr:col>3</xdr:col>
                    <xdr:colOff>276225</xdr:colOff>
                    <xdr:row>75</xdr:row>
                    <xdr:rowOff>9525</xdr:rowOff>
                  </from>
                  <to>
                    <xdr:col>3</xdr:col>
                    <xdr:colOff>847725</xdr:colOff>
                    <xdr:row>76</xdr:row>
                    <xdr:rowOff>0</xdr:rowOff>
                  </to>
                </anchor>
              </controlPr>
            </control>
          </mc:Choice>
        </mc:AlternateContent>
        <mc:AlternateContent xmlns:mc="http://schemas.openxmlformats.org/markup-compatibility/2006">
          <mc:Choice Requires="x14">
            <control shapeId="34605" r:id="rId42" name="Check Box 813">
              <controlPr defaultSize="0" autoFill="0" autoLine="0" autoPict="0">
                <anchor moveWithCells="1">
                  <from>
                    <xdr:col>3</xdr:col>
                    <xdr:colOff>1038225</xdr:colOff>
                    <xdr:row>75</xdr:row>
                    <xdr:rowOff>9525</xdr:rowOff>
                  </from>
                  <to>
                    <xdr:col>3</xdr:col>
                    <xdr:colOff>1619250</xdr:colOff>
                    <xdr:row>76</xdr:row>
                    <xdr:rowOff>0</xdr:rowOff>
                  </to>
                </anchor>
              </controlPr>
            </control>
          </mc:Choice>
        </mc:AlternateContent>
        <mc:AlternateContent xmlns:mc="http://schemas.openxmlformats.org/markup-compatibility/2006">
          <mc:Choice Requires="x14">
            <control shapeId="34667" r:id="rId43" name="Check Box 875">
              <controlPr defaultSize="0" autoFill="0" autoLine="0" autoPict="0">
                <anchor moveWithCells="1">
                  <from>
                    <xdr:col>4</xdr:col>
                    <xdr:colOff>962025</xdr:colOff>
                    <xdr:row>52</xdr:row>
                    <xdr:rowOff>9525</xdr:rowOff>
                  </from>
                  <to>
                    <xdr:col>5</xdr:col>
                    <xdr:colOff>323850</xdr:colOff>
                    <xdr:row>52</xdr:row>
                    <xdr:rowOff>495300</xdr:rowOff>
                  </to>
                </anchor>
              </controlPr>
            </control>
          </mc:Choice>
        </mc:AlternateContent>
        <mc:AlternateContent xmlns:mc="http://schemas.openxmlformats.org/markup-compatibility/2006">
          <mc:Choice Requires="x14">
            <control shapeId="34668" r:id="rId44" name="Check Box 876">
              <controlPr defaultSize="0" autoFill="0" autoLine="0" autoPict="0">
                <anchor moveWithCells="1">
                  <from>
                    <xdr:col>5</xdr:col>
                    <xdr:colOff>342900</xdr:colOff>
                    <xdr:row>52</xdr:row>
                    <xdr:rowOff>9525</xdr:rowOff>
                  </from>
                  <to>
                    <xdr:col>5</xdr:col>
                    <xdr:colOff>1419225</xdr:colOff>
                    <xdr:row>52</xdr:row>
                    <xdr:rowOff>495300</xdr:rowOff>
                  </to>
                </anchor>
              </controlPr>
            </control>
          </mc:Choice>
        </mc:AlternateContent>
        <mc:AlternateContent xmlns:mc="http://schemas.openxmlformats.org/markup-compatibility/2006">
          <mc:Choice Requires="x14">
            <control shapeId="34670" r:id="rId45" name="Check Box 878">
              <controlPr defaultSize="0" autoFill="0" autoLine="0" autoPict="0">
                <anchor moveWithCells="1">
                  <from>
                    <xdr:col>4</xdr:col>
                    <xdr:colOff>666750</xdr:colOff>
                    <xdr:row>59</xdr:row>
                    <xdr:rowOff>19050</xdr:rowOff>
                  </from>
                  <to>
                    <xdr:col>4</xdr:col>
                    <xdr:colOff>1476375</xdr:colOff>
                    <xdr:row>59</xdr:row>
                    <xdr:rowOff>685800</xdr:rowOff>
                  </to>
                </anchor>
              </controlPr>
            </control>
          </mc:Choice>
        </mc:AlternateContent>
        <mc:AlternateContent xmlns:mc="http://schemas.openxmlformats.org/markup-compatibility/2006">
          <mc:Choice Requires="x14">
            <control shapeId="34671" r:id="rId46" name="Check Box 879">
              <controlPr defaultSize="0" autoFill="0" autoLine="0" autoPict="0">
                <anchor moveWithCells="1">
                  <from>
                    <xdr:col>4</xdr:col>
                    <xdr:colOff>1495425</xdr:colOff>
                    <xdr:row>59</xdr:row>
                    <xdr:rowOff>19050</xdr:rowOff>
                  </from>
                  <to>
                    <xdr:col>5</xdr:col>
                    <xdr:colOff>590550</xdr:colOff>
                    <xdr:row>59</xdr:row>
                    <xdr:rowOff>685800</xdr:rowOff>
                  </to>
                </anchor>
              </controlPr>
            </control>
          </mc:Choice>
        </mc:AlternateContent>
        <mc:AlternateContent xmlns:mc="http://schemas.openxmlformats.org/markup-compatibility/2006">
          <mc:Choice Requires="x14">
            <control shapeId="34672" r:id="rId47" name="Check Box 880">
              <controlPr defaultSize="0" autoFill="0" autoLine="0" autoPict="0">
                <anchor moveWithCells="1">
                  <from>
                    <xdr:col>5</xdr:col>
                    <xdr:colOff>609600</xdr:colOff>
                    <xdr:row>59</xdr:row>
                    <xdr:rowOff>19050</xdr:rowOff>
                  </from>
                  <to>
                    <xdr:col>5</xdr:col>
                    <xdr:colOff>1419225</xdr:colOff>
                    <xdr:row>59</xdr:row>
                    <xdr:rowOff>685800</xdr:rowOff>
                  </to>
                </anchor>
              </controlPr>
            </control>
          </mc:Choice>
        </mc:AlternateContent>
        <mc:AlternateContent xmlns:mc="http://schemas.openxmlformats.org/markup-compatibility/2006">
          <mc:Choice Requires="x14">
            <control shapeId="34675" r:id="rId48" name="Check Box 883">
              <controlPr defaultSize="0" autoFill="0" autoLine="0" autoPict="0">
                <anchor moveWithCells="1">
                  <from>
                    <xdr:col>5</xdr:col>
                    <xdr:colOff>266700</xdr:colOff>
                    <xdr:row>11</xdr:row>
                    <xdr:rowOff>9525</xdr:rowOff>
                  </from>
                  <to>
                    <xdr:col>5</xdr:col>
                    <xdr:colOff>695325</xdr:colOff>
                    <xdr:row>12</xdr:row>
                    <xdr:rowOff>9525</xdr:rowOff>
                  </to>
                </anchor>
              </controlPr>
            </control>
          </mc:Choice>
        </mc:AlternateContent>
        <mc:AlternateContent xmlns:mc="http://schemas.openxmlformats.org/markup-compatibility/2006">
          <mc:Choice Requires="x14">
            <control shapeId="34680" r:id="rId49" name="Check Box 888">
              <controlPr defaultSize="0" autoFill="0" autoLine="0" autoPict="0">
                <anchor moveWithCells="1">
                  <from>
                    <xdr:col>3</xdr:col>
                    <xdr:colOff>276225</xdr:colOff>
                    <xdr:row>38</xdr:row>
                    <xdr:rowOff>0</xdr:rowOff>
                  </from>
                  <to>
                    <xdr:col>3</xdr:col>
                    <xdr:colOff>704850</xdr:colOff>
                    <xdr:row>39</xdr:row>
                    <xdr:rowOff>0</xdr:rowOff>
                  </to>
                </anchor>
              </controlPr>
            </control>
          </mc:Choice>
        </mc:AlternateContent>
        <mc:AlternateContent xmlns:mc="http://schemas.openxmlformats.org/markup-compatibility/2006">
          <mc:Choice Requires="x14">
            <control shapeId="34681" r:id="rId50" name="Check Box 889">
              <controlPr defaultSize="0" autoFill="0" autoLine="0" autoPict="0">
                <anchor moveWithCells="1">
                  <from>
                    <xdr:col>3</xdr:col>
                    <xdr:colOff>1057275</xdr:colOff>
                    <xdr:row>38</xdr:row>
                    <xdr:rowOff>9525</xdr:rowOff>
                  </from>
                  <to>
                    <xdr:col>3</xdr:col>
                    <xdr:colOff>1485900</xdr:colOff>
                    <xdr:row>39</xdr:row>
                    <xdr:rowOff>9525</xdr:rowOff>
                  </to>
                </anchor>
              </controlPr>
            </control>
          </mc:Choice>
        </mc:AlternateContent>
        <mc:AlternateContent xmlns:mc="http://schemas.openxmlformats.org/markup-compatibility/2006">
          <mc:Choice Requires="x14">
            <control shapeId="34682" r:id="rId51" name="Check Box 890">
              <controlPr defaultSize="0" autoFill="0" autoLine="0" autoPict="0">
                <anchor moveWithCells="1">
                  <from>
                    <xdr:col>3</xdr:col>
                    <xdr:colOff>276225</xdr:colOff>
                    <xdr:row>39</xdr:row>
                    <xdr:rowOff>0</xdr:rowOff>
                  </from>
                  <to>
                    <xdr:col>3</xdr:col>
                    <xdr:colOff>704850</xdr:colOff>
                    <xdr:row>40</xdr:row>
                    <xdr:rowOff>0</xdr:rowOff>
                  </to>
                </anchor>
              </controlPr>
            </control>
          </mc:Choice>
        </mc:AlternateContent>
        <mc:AlternateContent xmlns:mc="http://schemas.openxmlformats.org/markup-compatibility/2006">
          <mc:Choice Requires="x14">
            <control shapeId="34683" r:id="rId52" name="Check Box 891">
              <controlPr defaultSize="0" autoFill="0" autoLine="0" autoPict="0">
                <anchor moveWithCells="1">
                  <from>
                    <xdr:col>3</xdr:col>
                    <xdr:colOff>1057275</xdr:colOff>
                    <xdr:row>39</xdr:row>
                    <xdr:rowOff>9525</xdr:rowOff>
                  </from>
                  <to>
                    <xdr:col>3</xdr:col>
                    <xdr:colOff>1485900</xdr:colOff>
                    <xdr:row>40</xdr:row>
                    <xdr:rowOff>9525</xdr:rowOff>
                  </to>
                </anchor>
              </controlPr>
            </control>
          </mc:Choice>
        </mc:AlternateContent>
        <mc:AlternateContent xmlns:mc="http://schemas.openxmlformats.org/markup-compatibility/2006">
          <mc:Choice Requires="x14">
            <control shapeId="34684" r:id="rId53" name="Check Box 892">
              <controlPr defaultSize="0" autoFill="0" autoLine="0" autoPict="0">
                <anchor moveWithCells="1">
                  <from>
                    <xdr:col>3</xdr:col>
                    <xdr:colOff>276225</xdr:colOff>
                    <xdr:row>40</xdr:row>
                    <xdr:rowOff>0</xdr:rowOff>
                  </from>
                  <to>
                    <xdr:col>3</xdr:col>
                    <xdr:colOff>704850</xdr:colOff>
                    <xdr:row>41</xdr:row>
                    <xdr:rowOff>0</xdr:rowOff>
                  </to>
                </anchor>
              </controlPr>
            </control>
          </mc:Choice>
        </mc:AlternateContent>
        <mc:AlternateContent xmlns:mc="http://schemas.openxmlformats.org/markup-compatibility/2006">
          <mc:Choice Requires="x14">
            <control shapeId="34685" r:id="rId54" name="Check Box 893">
              <controlPr defaultSize="0" autoFill="0" autoLine="0" autoPict="0">
                <anchor moveWithCells="1">
                  <from>
                    <xdr:col>3</xdr:col>
                    <xdr:colOff>1057275</xdr:colOff>
                    <xdr:row>40</xdr:row>
                    <xdr:rowOff>9525</xdr:rowOff>
                  </from>
                  <to>
                    <xdr:col>3</xdr:col>
                    <xdr:colOff>1485900</xdr:colOff>
                    <xdr:row>41</xdr:row>
                    <xdr:rowOff>9525</xdr:rowOff>
                  </to>
                </anchor>
              </controlPr>
            </control>
          </mc:Choice>
        </mc:AlternateContent>
        <mc:AlternateContent xmlns:mc="http://schemas.openxmlformats.org/markup-compatibility/2006">
          <mc:Choice Requires="x14">
            <control shapeId="34686" r:id="rId55" name="Check Box 894">
              <controlPr defaultSize="0" autoFill="0" autoLine="0" autoPict="0">
                <anchor moveWithCells="1">
                  <from>
                    <xdr:col>3</xdr:col>
                    <xdr:colOff>276225</xdr:colOff>
                    <xdr:row>41</xdr:row>
                    <xdr:rowOff>0</xdr:rowOff>
                  </from>
                  <to>
                    <xdr:col>3</xdr:col>
                    <xdr:colOff>704850</xdr:colOff>
                    <xdr:row>42</xdr:row>
                    <xdr:rowOff>0</xdr:rowOff>
                  </to>
                </anchor>
              </controlPr>
            </control>
          </mc:Choice>
        </mc:AlternateContent>
        <mc:AlternateContent xmlns:mc="http://schemas.openxmlformats.org/markup-compatibility/2006">
          <mc:Choice Requires="x14">
            <control shapeId="34687" r:id="rId56" name="Check Box 895">
              <controlPr defaultSize="0" autoFill="0" autoLine="0" autoPict="0">
                <anchor moveWithCells="1">
                  <from>
                    <xdr:col>3</xdr:col>
                    <xdr:colOff>1057275</xdr:colOff>
                    <xdr:row>41</xdr:row>
                    <xdr:rowOff>9525</xdr:rowOff>
                  </from>
                  <to>
                    <xdr:col>3</xdr:col>
                    <xdr:colOff>1485900</xdr:colOff>
                    <xdr:row>42</xdr:row>
                    <xdr:rowOff>9525</xdr:rowOff>
                  </to>
                </anchor>
              </controlPr>
            </control>
          </mc:Choice>
        </mc:AlternateContent>
        <mc:AlternateContent xmlns:mc="http://schemas.openxmlformats.org/markup-compatibility/2006">
          <mc:Choice Requires="x14">
            <control shapeId="34688" r:id="rId57" name="Check Box 896">
              <controlPr defaultSize="0" autoFill="0" autoLine="0" autoPict="0">
                <anchor moveWithCells="1">
                  <from>
                    <xdr:col>3</xdr:col>
                    <xdr:colOff>276225</xdr:colOff>
                    <xdr:row>42</xdr:row>
                    <xdr:rowOff>0</xdr:rowOff>
                  </from>
                  <to>
                    <xdr:col>3</xdr:col>
                    <xdr:colOff>704850</xdr:colOff>
                    <xdr:row>43</xdr:row>
                    <xdr:rowOff>0</xdr:rowOff>
                  </to>
                </anchor>
              </controlPr>
            </control>
          </mc:Choice>
        </mc:AlternateContent>
        <mc:AlternateContent xmlns:mc="http://schemas.openxmlformats.org/markup-compatibility/2006">
          <mc:Choice Requires="x14">
            <control shapeId="34689" r:id="rId58" name="Check Box 897">
              <controlPr defaultSize="0" autoFill="0" autoLine="0" autoPict="0">
                <anchor moveWithCells="1">
                  <from>
                    <xdr:col>3</xdr:col>
                    <xdr:colOff>1057275</xdr:colOff>
                    <xdr:row>42</xdr:row>
                    <xdr:rowOff>9525</xdr:rowOff>
                  </from>
                  <to>
                    <xdr:col>3</xdr:col>
                    <xdr:colOff>1485900</xdr:colOff>
                    <xdr:row>43</xdr:row>
                    <xdr:rowOff>9525</xdr:rowOff>
                  </to>
                </anchor>
              </controlPr>
            </control>
          </mc:Choice>
        </mc:AlternateContent>
        <mc:AlternateContent xmlns:mc="http://schemas.openxmlformats.org/markup-compatibility/2006">
          <mc:Choice Requires="x14">
            <control shapeId="34690" r:id="rId59" name="Check Box 898">
              <controlPr defaultSize="0" autoFill="0" autoLine="0" autoPict="0">
                <anchor moveWithCells="1">
                  <from>
                    <xdr:col>3</xdr:col>
                    <xdr:colOff>276225</xdr:colOff>
                    <xdr:row>43</xdr:row>
                    <xdr:rowOff>0</xdr:rowOff>
                  </from>
                  <to>
                    <xdr:col>3</xdr:col>
                    <xdr:colOff>704850</xdr:colOff>
                    <xdr:row>44</xdr:row>
                    <xdr:rowOff>0</xdr:rowOff>
                  </to>
                </anchor>
              </controlPr>
            </control>
          </mc:Choice>
        </mc:AlternateContent>
        <mc:AlternateContent xmlns:mc="http://schemas.openxmlformats.org/markup-compatibility/2006">
          <mc:Choice Requires="x14">
            <control shapeId="34691" r:id="rId60" name="Check Box 899">
              <controlPr defaultSize="0" autoFill="0" autoLine="0" autoPict="0">
                <anchor moveWithCells="1">
                  <from>
                    <xdr:col>3</xdr:col>
                    <xdr:colOff>1057275</xdr:colOff>
                    <xdr:row>43</xdr:row>
                    <xdr:rowOff>9525</xdr:rowOff>
                  </from>
                  <to>
                    <xdr:col>3</xdr:col>
                    <xdr:colOff>1485900</xdr:colOff>
                    <xdr:row>44</xdr:row>
                    <xdr:rowOff>9525</xdr:rowOff>
                  </to>
                </anchor>
              </controlPr>
            </control>
          </mc:Choice>
        </mc:AlternateContent>
        <mc:AlternateContent xmlns:mc="http://schemas.openxmlformats.org/markup-compatibility/2006">
          <mc:Choice Requires="x14">
            <control shapeId="34692" r:id="rId61" name="Check Box 900">
              <controlPr defaultSize="0" autoFill="0" autoLine="0" autoPict="0">
                <anchor moveWithCells="1">
                  <from>
                    <xdr:col>3</xdr:col>
                    <xdr:colOff>276225</xdr:colOff>
                    <xdr:row>44</xdr:row>
                    <xdr:rowOff>0</xdr:rowOff>
                  </from>
                  <to>
                    <xdr:col>3</xdr:col>
                    <xdr:colOff>704850</xdr:colOff>
                    <xdr:row>45</xdr:row>
                    <xdr:rowOff>0</xdr:rowOff>
                  </to>
                </anchor>
              </controlPr>
            </control>
          </mc:Choice>
        </mc:AlternateContent>
        <mc:AlternateContent xmlns:mc="http://schemas.openxmlformats.org/markup-compatibility/2006">
          <mc:Choice Requires="x14">
            <control shapeId="34693" r:id="rId62" name="Check Box 901">
              <controlPr defaultSize="0" autoFill="0" autoLine="0" autoPict="0">
                <anchor moveWithCells="1">
                  <from>
                    <xdr:col>3</xdr:col>
                    <xdr:colOff>1057275</xdr:colOff>
                    <xdr:row>44</xdr:row>
                    <xdr:rowOff>9525</xdr:rowOff>
                  </from>
                  <to>
                    <xdr:col>3</xdr:col>
                    <xdr:colOff>1485900</xdr:colOff>
                    <xdr:row>45</xdr:row>
                    <xdr:rowOff>9525</xdr:rowOff>
                  </to>
                </anchor>
              </controlPr>
            </control>
          </mc:Choice>
        </mc:AlternateContent>
        <mc:AlternateContent xmlns:mc="http://schemas.openxmlformats.org/markup-compatibility/2006">
          <mc:Choice Requires="x14">
            <control shapeId="34694" r:id="rId63" name="Check Box 902">
              <controlPr defaultSize="0" autoFill="0" autoLine="0" autoPict="0">
                <anchor moveWithCells="1">
                  <from>
                    <xdr:col>3</xdr:col>
                    <xdr:colOff>276225</xdr:colOff>
                    <xdr:row>45</xdr:row>
                    <xdr:rowOff>0</xdr:rowOff>
                  </from>
                  <to>
                    <xdr:col>3</xdr:col>
                    <xdr:colOff>704850</xdr:colOff>
                    <xdr:row>46</xdr:row>
                    <xdr:rowOff>0</xdr:rowOff>
                  </to>
                </anchor>
              </controlPr>
            </control>
          </mc:Choice>
        </mc:AlternateContent>
        <mc:AlternateContent xmlns:mc="http://schemas.openxmlformats.org/markup-compatibility/2006">
          <mc:Choice Requires="x14">
            <control shapeId="34695" r:id="rId64" name="Check Box 903">
              <controlPr defaultSize="0" autoFill="0" autoLine="0" autoPict="0">
                <anchor moveWithCells="1">
                  <from>
                    <xdr:col>3</xdr:col>
                    <xdr:colOff>1057275</xdr:colOff>
                    <xdr:row>45</xdr:row>
                    <xdr:rowOff>9525</xdr:rowOff>
                  </from>
                  <to>
                    <xdr:col>3</xdr:col>
                    <xdr:colOff>1485900</xdr:colOff>
                    <xdr:row>46</xdr:row>
                    <xdr:rowOff>9525</xdr:rowOff>
                  </to>
                </anchor>
              </controlPr>
            </control>
          </mc:Choice>
        </mc:AlternateContent>
        <mc:AlternateContent xmlns:mc="http://schemas.openxmlformats.org/markup-compatibility/2006">
          <mc:Choice Requires="x14">
            <control shapeId="34696" r:id="rId65" name="Check Box 904">
              <controlPr defaultSize="0" autoFill="0" autoLine="0" autoPict="0">
                <anchor moveWithCells="1">
                  <from>
                    <xdr:col>3</xdr:col>
                    <xdr:colOff>276225</xdr:colOff>
                    <xdr:row>46</xdr:row>
                    <xdr:rowOff>0</xdr:rowOff>
                  </from>
                  <to>
                    <xdr:col>3</xdr:col>
                    <xdr:colOff>704850</xdr:colOff>
                    <xdr:row>47</xdr:row>
                    <xdr:rowOff>0</xdr:rowOff>
                  </to>
                </anchor>
              </controlPr>
            </control>
          </mc:Choice>
        </mc:AlternateContent>
        <mc:AlternateContent xmlns:mc="http://schemas.openxmlformats.org/markup-compatibility/2006">
          <mc:Choice Requires="x14">
            <control shapeId="34697" r:id="rId66" name="Check Box 905">
              <controlPr defaultSize="0" autoFill="0" autoLine="0" autoPict="0">
                <anchor moveWithCells="1">
                  <from>
                    <xdr:col>3</xdr:col>
                    <xdr:colOff>1057275</xdr:colOff>
                    <xdr:row>46</xdr:row>
                    <xdr:rowOff>9525</xdr:rowOff>
                  </from>
                  <to>
                    <xdr:col>3</xdr:col>
                    <xdr:colOff>1485900</xdr:colOff>
                    <xdr:row>47</xdr:row>
                    <xdr:rowOff>9525</xdr:rowOff>
                  </to>
                </anchor>
              </controlPr>
            </control>
          </mc:Choice>
        </mc:AlternateContent>
        <mc:AlternateContent xmlns:mc="http://schemas.openxmlformats.org/markup-compatibility/2006">
          <mc:Choice Requires="x14">
            <control shapeId="34698" r:id="rId67" name="Check Box 906">
              <controlPr defaultSize="0" autoFill="0" autoLine="0" autoPict="0">
                <anchor moveWithCells="1">
                  <from>
                    <xdr:col>3</xdr:col>
                    <xdr:colOff>276225</xdr:colOff>
                    <xdr:row>47</xdr:row>
                    <xdr:rowOff>0</xdr:rowOff>
                  </from>
                  <to>
                    <xdr:col>3</xdr:col>
                    <xdr:colOff>704850</xdr:colOff>
                    <xdr:row>48</xdr:row>
                    <xdr:rowOff>0</xdr:rowOff>
                  </to>
                </anchor>
              </controlPr>
            </control>
          </mc:Choice>
        </mc:AlternateContent>
        <mc:AlternateContent xmlns:mc="http://schemas.openxmlformats.org/markup-compatibility/2006">
          <mc:Choice Requires="x14">
            <control shapeId="34699" r:id="rId68" name="Check Box 907">
              <controlPr defaultSize="0" autoFill="0" autoLine="0" autoPict="0">
                <anchor moveWithCells="1">
                  <from>
                    <xdr:col>3</xdr:col>
                    <xdr:colOff>1057275</xdr:colOff>
                    <xdr:row>47</xdr:row>
                    <xdr:rowOff>9525</xdr:rowOff>
                  </from>
                  <to>
                    <xdr:col>3</xdr:col>
                    <xdr:colOff>1485900</xdr:colOff>
                    <xdr:row>48</xdr:row>
                    <xdr:rowOff>9525</xdr:rowOff>
                  </to>
                </anchor>
              </controlPr>
            </control>
          </mc:Choice>
        </mc:AlternateContent>
        <mc:AlternateContent xmlns:mc="http://schemas.openxmlformats.org/markup-compatibility/2006">
          <mc:Choice Requires="x14">
            <control shapeId="34710" r:id="rId69" name="Check Box 918">
              <controlPr defaultSize="0" autoFill="0" autoLine="0" autoPict="0">
                <anchor moveWithCells="1">
                  <from>
                    <xdr:col>4</xdr:col>
                    <xdr:colOff>666750</xdr:colOff>
                    <xdr:row>64</xdr:row>
                    <xdr:rowOff>9525</xdr:rowOff>
                  </from>
                  <to>
                    <xdr:col>4</xdr:col>
                    <xdr:colOff>1476375</xdr:colOff>
                    <xdr:row>65</xdr:row>
                    <xdr:rowOff>9525</xdr:rowOff>
                  </to>
                </anchor>
              </controlPr>
            </control>
          </mc:Choice>
        </mc:AlternateContent>
        <mc:AlternateContent xmlns:mc="http://schemas.openxmlformats.org/markup-compatibility/2006">
          <mc:Choice Requires="x14">
            <control shapeId="34711" r:id="rId70" name="Check Box 919">
              <controlPr defaultSize="0" autoFill="0" autoLine="0" autoPict="0">
                <anchor moveWithCells="1">
                  <from>
                    <xdr:col>4</xdr:col>
                    <xdr:colOff>1495425</xdr:colOff>
                    <xdr:row>64</xdr:row>
                    <xdr:rowOff>9525</xdr:rowOff>
                  </from>
                  <to>
                    <xdr:col>5</xdr:col>
                    <xdr:colOff>590550</xdr:colOff>
                    <xdr:row>65</xdr:row>
                    <xdr:rowOff>9525</xdr:rowOff>
                  </to>
                </anchor>
              </controlPr>
            </control>
          </mc:Choice>
        </mc:AlternateContent>
        <mc:AlternateContent xmlns:mc="http://schemas.openxmlformats.org/markup-compatibility/2006">
          <mc:Choice Requires="x14">
            <control shapeId="34712" r:id="rId71" name="Check Box 920">
              <controlPr defaultSize="0" autoFill="0" autoLine="0" autoPict="0">
                <anchor moveWithCells="1">
                  <from>
                    <xdr:col>5</xdr:col>
                    <xdr:colOff>609600</xdr:colOff>
                    <xdr:row>64</xdr:row>
                    <xdr:rowOff>9525</xdr:rowOff>
                  </from>
                  <to>
                    <xdr:col>5</xdr:col>
                    <xdr:colOff>1419225</xdr:colOff>
                    <xdr:row>65</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AA117"/>
  <sheetViews>
    <sheetView showGridLines="0" showRowColHeaders="0" zoomScaleNormal="100" workbookViewId="0">
      <pane ySplit="6" topLeftCell="A7" activePane="bottomLeft" state="frozen"/>
      <selection pane="bottomLeft" activeCell="B13" sqref="B13:C15"/>
    </sheetView>
  </sheetViews>
  <sheetFormatPr defaultColWidth="9.140625" defaultRowHeight="14.25" x14ac:dyDescent="0.2"/>
  <cols>
    <col min="1" max="1" width="9.140625" style="1"/>
    <col min="2" max="2" width="81.5703125" style="1" customWidth="1"/>
    <col min="3" max="5" width="40.7109375" style="1" customWidth="1"/>
    <col min="6" max="6" width="27.28515625" style="1" customWidth="1"/>
    <col min="7" max="7" width="8.7109375" style="1" customWidth="1"/>
    <col min="8" max="10" width="9.140625" style="1" customWidth="1"/>
    <col min="11" max="11" width="9.140625" style="1" hidden="1" customWidth="1"/>
    <col min="12" max="12" width="14.85546875" style="1" hidden="1" customWidth="1"/>
    <col min="13" max="13" width="9.140625" style="1" hidden="1" customWidth="1"/>
    <col min="14" max="14" width="10.140625" style="1" hidden="1" customWidth="1"/>
    <col min="15" max="15" width="9.140625" style="1" hidden="1" customWidth="1"/>
    <col min="16" max="16" width="13.140625" style="1" hidden="1" customWidth="1"/>
    <col min="17" max="17" width="29" style="36" hidden="1" customWidth="1"/>
    <col min="18" max="27" width="9.140625" style="1" hidden="1" customWidth="1"/>
    <col min="28" max="38" width="0" style="1" hidden="1" customWidth="1"/>
    <col min="39" max="16384" width="9.140625" style="1"/>
  </cols>
  <sheetData>
    <row r="1" spans="2:19" ht="12.75" customHeight="1" x14ac:dyDescent="0.2">
      <c r="H1" s="19"/>
    </row>
    <row r="2" spans="2:19" ht="12.75" customHeight="1" x14ac:dyDescent="0.2">
      <c r="H2" s="19"/>
    </row>
    <row r="3" spans="2:19" ht="12.75" customHeight="1" x14ac:dyDescent="0.2">
      <c r="H3" s="19"/>
    </row>
    <row r="4" spans="2:19" ht="12.75" customHeight="1" x14ac:dyDescent="0.2">
      <c r="H4" s="19"/>
    </row>
    <row r="5" spans="2:19" ht="12.75" customHeight="1" x14ac:dyDescent="0.2">
      <c r="H5" s="19"/>
    </row>
    <row r="6" spans="2:19" ht="12.75" customHeight="1" x14ac:dyDescent="0.2">
      <c r="H6" s="19"/>
    </row>
    <row r="7" spans="2:19" ht="18.75" customHeight="1" thickBot="1" x14ac:dyDescent="0.3">
      <c r="B7" s="10"/>
      <c r="H7" s="19"/>
    </row>
    <row r="8" spans="2:19" ht="32.1" customHeight="1" thickBot="1" x14ac:dyDescent="0.25">
      <c r="B8" s="602" t="s">
        <v>432</v>
      </c>
      <c r="C8" s="203"/>
      <c r="D8" s="11"/>
      <c r="E8" s="11"/>
      <c r="H8" s="19"/>
    </row>
    <row r="9" spans="2:19" ht="48" customHeight="1" thickBot="1" x14ac:dyDescent="0.25">
      <c r="B9" s="200" t="s">
        <v>623</v>
      </c>
      <c r="C9" s="201" t="str">
        <f>IF(Q9="Invalid Input","Please select only one option","")</f>
        <v/>
      </c>
      <c r="D9" s="100" t="str">
        <f>IF(M9=1,"*","")</f>
        <v>*</v>
      </c>
      <c r="E9" s="596"/>
      <c r="F9" s="59"/>
      <c r="G9" s="11"/>
      <c r="H9" s="19"/>
      <c r="M9" s="36">
        <f>IF(COUNTIF(N9:P9,"TRUE")=1,0,1)</f>
        <v>1</v>
      </c>
      <c r="N9" s="79" t="b">
        <v>0</v>
      </c>
      <c r="O9" s="79" t="b">
        <v>0</v>
      </c>
      <c r="P9" s="79" t="b">
        <v>0</v>
      </c>
      <c r="Q9" s="36">
        <f>VLOOKUP((N9&amp;" "&amp;O9&amp;" "&amp;P9),True2,2,FALSE)</f>
        <v>0</v>
      </c>
      <c r="R9" s="36">
        <f>IF(Q9="Yes",0,IF(Q9="No",0,IF(Q9="Incomplete",0,1)))</f>
        <v>1</v>
      </c>
      <c r="S9" s="11">
        <f>IF(Q9="No",1,IF(Q9="Incomplete",1,0))</f>
        <v>0</v>
      </c>
    </row>
    <row r="10" spans="2:19" ht="32.1" customHeight="1" thickBot="1" x14ac:dyDescent="0.25">
      <c r="B10" s="192"/>
      <c r="C10" s="599" t="s">
        <v>0</v>
      </c>
      <c r="D10" s="11"/>
      <c r="E10" s="11"/>
      <c r="F10" s="59"/>
      <c r="G10" s="11"/>
      <c r="H10" s="19"/>
      <c r="Q10" s="1"/>
      <c r="R10" s="36"/>
    </row>
    <row r="11" spans="2:19" ht="39.950000000000003" customHeight="1" x14ac:dyDescent="0.2">
      <c r="B11" s="202" t="s">
        <v>674</v>
      </c>
      <c r="C11" s="419" t="str">
        <f>IF((N11&amp;" "&amp;O11)="TRUE TRUE","Please select only one option","")</f>
        <v/>
      </c>
      <c r="D11" s="100" t="str">
        <f>IF(M11=1,"*","")</f>
        <v>*</v>
      </c>
      <c r="E11" s="14"/>
      <c r="H11" s="19"/>
      <c r="M11" s="36">
        <f>IF(COUNTIF(N11:O11,"TRUE")=1,0,1)</f>
        <v>1</v>
      </c>
      <c r="N11" s="79" t="b">
        <v>0</v>
      </c>
      <c r="O11" s="79" t="b">
        <v>0</v>
      </c>
      <c r="R11" s="36">
        <f>IF((N11&amp;" "&amp;O11)="FALSE FALSE",1,IF((N11&amp;" "&amp;O11)="TRUE FALSE","Annually",IF((N11&amp;" "&amp;O11)="FALSE TRUE","Other",IF((N11&amp;" "&amp;O11)="TRUE TRUE",1,""))))</f>
        <v>1</v>
      </c>
    </row>
    <row r="12" spans="2:19" s="11" customFormat="1" ht="32.1" customHeight="1" x14ac:dyDescent="0.2">
      <c r="B12" s="210" t="s">
        <v>675</v>
      </c>
      <c r="C12" s="211"/>
      <c r="D12" s="101"/>
      <c r="H12" s="19"/>
      <c r="R12" s="36"/>
    </row>
    <row r="13" spans="2:19" s="11" customFormat="1" ht="24" customHeight="1" x14ac:dyDescent="0.2">
      <c r="B13" s="748"/>
      <c r="C13" s="749"/>
      <c r="D13" s="738" t="str">
        <f>IF(R11="Other",IF(B13="","*",""),"")</f>
        <v/>
      </c>
      <c r="H13" s="19"/>
      <c r="R13" s="36"/>
    </row>
    <row r="14" spans="2:19" s="11" customFormat="1" ht="24" customHeight="1" x14ac:dyDescent="0.2">
      <c r="B14" s="748"/>
      <c r="C14" s="749"/>
      <c r="D14" s="738"/>
      <c r="H14" s="19"/>
      <c r="R14" s="36"/>
    </row>
    <row r="15" spans="2:19" s="11" customFormat="1" ht="24" customHeight="1" thickBot="1" x14ac:dyDescent="0.25">
      <c r="B15" s="750"/>
      <c r="C15" s="751"/>
      <c r="D15" s="738"/>
      <c r="H15" s="19"/>
      <c r="R15" s="36">
        <f>IF(C11="Other (Please state below)",IF(ISBLANK(B13)=TRUE,1,0),0)</f>
        <v>0</v>
      </c>
    </row>
    <row r="16" spans="2:19" s="11" customFormat="1" ht="15.95" customHeight="1" x14ac:dyDescent="0.2">
      <c r="B16" s="199"/>
      <c r="C16" s="14"/>
      <c r="H16" s="19"/>
      <c r="R16" s="36"/>
    </row>
    <row r="17" spans="1:17" s="11" customFormat="1" ht="15.95" customHeight="1" x14ac:dyDescent="0.2">
      <c r="B17" s="11" t="s">
        <v>806</v>
      </c>
      <c r="E17" s="60"/>
      <c r="H17" s="19"/>
      <c r="Q17" s="36"/>
    </row>
    <row r="18" spans="1:17" ht="15.95" customHeight="1" thickBot="1" x14ac:dyDescent="0.25">
      <c r="H18" s="19"/>
    </row>
    <row r="19" spans="1:17" s="36" customFormat="1" ht="39" customHeight="1" thickBot="1" x14ac:dyDescent="0.25">
      <c r="A19" s="1"/>
      <c r="B19" s="610" t="s">
        <v>624</v>
      </c>
      <c r="C19" s="599" t="s">
        <v>689</v>
      </c>
      <c r="D19" s="1"/>
      <c r="E19" s="1"/>
      <c r="F19" s="1"/>
      <c r="G19" s="1"/>
      <c r="H19" s="19"/>
    </row>
    <row r="20" spans="1:17" s="36" customFormat="1" ht="24" customHeight="1" x14ac:dyDescent="0.2">
      <c r="A20" s="1"/>
      <c r="B20" s="336"/>
      <c r="C20" s="337"/>
      <c r="D20" s="94" t="str">
        <f>IF(M20=1,"*","")</f>
        <v/>
      </c>
      <c r="E20" s="1"/>
      <c r="F20" s="1"/>
      <c r="G20" s="1"/>
      <c r="H20" s="19"/>
      <c r="M20" s="36">
        <f>IF(S9=1,IF(COUNTIF(B20:C20,"")&lt;&gt;0,1,0))+IF(SUM(N21:N24)&lt;&gt;0,IF(COUNT(B20:C20)=0,1,0))</f>
        <v>0</v>
      </c>
    </row>
    <row r="21" spans="1:17" s="36" customFormat="1" ht="24" customHeight="1" x14ac:dyDescent="0.2">
      <c r="A21" s="1"/>
      <c r="B21" s="206"/>
      <c r="C21" s="207"/>
      <c r="D21" s="94" t="str">
        <f>IF(M21&lt;&gt;0,"*","")</f>
        <v/>
      </c>
      <c r="E21" s="1"/>
      <c r="F21" s="1"/>
      <c r="G21" s="1"/>
      <c r="H21" s="19"/>
      <c r="M21" s="36">
        <f>IF(COUNTIF(B21:C21,"")&lt;&gt;2,IF(COUNTA(B21:C21)&lt;&gt;2,1,0),0)+IF(COUNTA(B21:C21)=0,IF(COUNTA(B22:C24)&lt;&gt;0,1,0))</f>
        <v>0</v>
      </c>
    </row>
    <row r="22" spans="1:17" s="36" customFormat="1" ht="24" customHeight="1" x14ac:dyDescent="0.2">
      <c r="A22" s="1"/>
      <c r="B22" s="206"/>
      <c r="C22" s="207"/>
      <c r="D22" s="94" t="str">
        <f>IF(M22&lt;&gt;0,"*","")</f>
        <v/>
      </c>
      <c r="E22" s="1"/>
      <c r="F22" s="1"/>
      <c r="G22" s="1"/>
      <c r="H22" s="19"/>
      <c r="M22" s="36">
        <f>IF(COUNTIF(B22:C22,"")&lt;&gt;2,IF(COUNTA(B22:C22)&lt;&gt;2,1,0),0)+IF(COUNTA(B22:C22)=0,IF(COUNTA(B23:C24)&lt;&gt;0,1,0))</f>
        <v>0</v>
      </c>
    </row>
    <row r="23" spans="1:17" s="36" customFormat="1" ht="24" customHeight="1" x14ac:dyDescent="0.2">
      <c r="A23" s="1"/>
      <c r="B23" s="206"/>
      <c r="C23" s="207"/>
      <c r="D23" s="94" t="str">
        <f>IF(M23&lt;&gt;0,"*","")</f>
        <v/>
      </c>
      <c r="E23" s="1"/>
      <c r="F23" s="1"/>
      <c r="G23" s="1"/>
      <c r="H23" s="19"/>
      <c r="M23" s="36">
        <f>IF(COUNTIF(B23:C23,"")&lt;&gt;2,IF(COUNTA(B23:C23)&lt;&gt;2,1,0),0)+IF(COUNTA(B23:C23)=0,IF(COUNTA(B24:C24)&lt;&gt;0,1,0))</f>
        <v>0</v>
      </c>
    </row>
    <row r="24" spans="1:17" s="36" customFormat="1" ht="24" customHeight="1" thickBot="1" x14ac:dyDescent="0.25">
      <c r="A24" s="1"/>
      <c r="B24" s="208"/>
      <c r="C24" s="209"/>
      <c r="D24" s="94" t="str">
        <f>IF(M24&lt;&gt;0,"*","")</f>
        <v/>
      </c>
      <c r="E24" s="1"/>
      <c r="F24" s="1"/>
      <c r="G24" s="1"/>
      <c r="H24" s="19"/>
      <c r="M24" s="36">
        <f>IF(COUNTIF(B24:C24,"")&lt;&gt;2,IF(COUNTA(B24:C24)&lt;&gt;2,1,0),0)</f>
        <v>0</v>
      </c>
    </row>
    <row r="25" spans="1:17" s="36" customFormat="1" ht="15.95" customHeight="1" thickBot="1" x14ac:dyDescent="0.25">
      <c r="A25" s="1"/>
      <c r="B25" s="17"/>
      <c r="C25" s="1"/>
      <c r="D25" s="1"/>
      <c r="E25" s="1"/>
      <c r="F25" s="1"/>
      <c r="G25" s="1"/>
      <c r="H25" s="19"/>
    </row>
    <row r="26" spans="1:17" s="36" customFormat="1" ht="32.1" customHeight="1" thickBot="1" x14ac:dyDescent="0.25">
      <c r="A26" s="1"/>
      <c r="B26" s="205"/>
      <c r="C26" s="598" t="s">
        <v>1</v>
      </c>
      <c r="D26" s="599" t="s">
        <v>2</v>
      </c>
      <c r="E26" s="1"/>
      <c r="F26" s="1"/>
      <c r="G26" s="1"/>
      <c r="H26" s="19"/>
    </row>
    <row r="27" spans="1:17" s="36" customFormat="1" ht="24" customHeight="1" x14ac:dyDescent="0.2">
      <c r="A27" s="1"/>
      <c r="B27" s="778" t="s">
        <v>836</v>
      </c>
      <c r="C27" s="190" t="s">
        <v>447</v>
      </c>
      <c r="D27" s="234"/>
      <c r="E27" s="94" t="str">
        <f>IF(M27=1,"*","")</f>
        <v>*</v>
      </c>
      <c r="F27" s="1"/>
      <c r="G27" s="1"/>
      <c r="H27" s="19"/>
      <c r="M27" s="36">
        <f>IF(ISERROR(EXACT(VLOOKUP(D27,Risk,1,FALSE),D27)),1,0)</f>
        <v>1</v>
      </c>
    </row>
    <row r="28" spans="1:17" s="36" customFormat="1" ht="24" customHeight="1" x14ac:dyDescent="0.2">
      <c r="A28" s="1"/>
      <c r="B28" s="779"/>
      <c r="C28" s="216" t="s">
        <v>3</v>
      </c>
      <c r="D28" s="235"/>
      <c r="E28" s="94" t="str">
        <f>IF(M28=1,"*","")</f>
        <v>*</v>
      </c>
      <c r="F28" s="1"/>
      <c r="G28" s="1"/>
      <c r="H28" s="19"/>
      <c r="M28" s="36">
        <f>IF(ISERROR(EXACT(VLOOKUP(D28,Risk,1,FALSE),D28)),1,0)</f>
        <v>1</v>
      </c>
    </row>
    <row r="29" spans="1:17" s="36" customFormat="1" ht="24" customHeight="1" x14ac:dyDescent="0.2">
      <c r="A29" s="1"/>
      <c r="B29" s="779"/>
      <c r="C29" s="216" t="s">
        <v>4</v>
      </c>
      <c r="D29" s="235"/>
      <c r="E29" s="94" t="str">
        <f>IF(M29=1,"*","")</f>
        <v>*</v>
      </c>
      <c r="F29" s="1"/>
      <c r="G29" s="1"/>
      <c r="H29" s="19"/>
      <c r="M29" s="36">
        <f>IF(ISERROR(EXACT(VLOOKUP(D29,Risk,1,FALSE),D29)),1,0)</f>
        <v>1</v>
      </c>
    </row>
    <row r="30" spans="1:17" s="36" customFormat="1" ht="24" customHeight="1" x14ac:dyDescent="0.2">
      <c r="A30" s="1"/>
      <c r="B30" s="779"/>
      <c r="C30" s="216" t="s">
        <v>5</v>
      </c>
      <c r="D30" s="235"/>
      <c r="E30" s="94" t="str">
        <f>IF(M30=1,"*","")</f>
        <v>*</v>
      </c>
      <c r="F30" s="1"/>
      <c r="G30" s="1"/>
      <c r="H30" s="19"/>
      <c r="M30" s="36">
        <f>IF(ISERROR(EXACT(VLOOKUP(D30,Risk,1,FALSE),D30)),1,0)</f>
        <v>1</v>
      </c>
    </row>
    <row r="31" spans="1:17" s="36" customFormat="1" ht="24" customHeight="1" thickBot="1" x14ac:dyDescent="0.25">
      <c r="A31" s="1"/>
      <c r="B31" s="780"/>
      <c r="C31" s="179" t="s">
        <v>6</v>
      </c>
      <c r="D31" s="236"/>
      <c r="E31" s="94" t="str">
        <f>IF(M31=1,"*","")</f>
        <v>*</v>
      </c>
      <c r="F31" s="1"/>
      <c r="G31" s="1"/>
      <c r="H31" s="19"/>
      <c r="M31" s="36">
        <f>IF(ISERROR(EXACT(VLOOKUP(D31,Risk,1,FALSE),D31)),1,0)</f>
        <v>1</v>
      </c>
    </row>
    <row r="32" spans="1:17" s="36" customFormat="1" ht="15.95" customHeight="1" x14ac:dyDescent="0.2">
      <c r="A32" s="1"/>
      <c r="B32" s="1"/>
      <c r="C32" s="1"/>
      <c r="D32" s="1"/>
      <c r="E32" s="1"/>
      <c r="F32" s="1"/>
      <c r="G32" s="1"/>
      <c r="H32" s="19"/>
    </row>
    <row r="33" spans="1:18" s="36" customFormat="1" ht="15.95" customHeight="1" x14ac:dyDescent="0.2">
      <c r="A33" s="1"/>
      <c r="B33" s="225" t="str">
        <f>IF(COUNTIF(D27:D31,"RA not completed")&lt;&gt;0,"Please note that your application will not proceed until your firm's completed risk assessment has been submitted","")</f>
        <v/>
      </c>
      <c r="C33" s="403"/>
      <c r="D33" s="403"/>
      <c r="E33" s="1"/>
      <c r="F33" s="1"/>
      <c r="G33" s="1"/>
      <c r="H33" s="19"/>
    </row>
    <row r="34" spans="1:18" ht="15.95" customHeight="1" thickBot="1" x14ac:dyDescent="0.25">
      <c r="B34" s="61"/>
      <c r="H34" s="19"/>
    </row>
    <row r="35" spans="1:18" ht="48" customHeight="1" x14ac:dyDescent="0.2">
      <c r="B35" s="158" t="s">
        <v>706</v>
      </c>
      <c r="C35" s="215" t="s">
        <v>653</v>
      </c>
      <c r="D35" s="228" t="s">
        <v>719</v>
      </c>
      <c r="H35" s="19"/>
    </row>
    <row r="36" spans="1:18" ht="39.950000000000003" customHeight="1" x14ac:dyDescent="0.2">
      <c r="B36" s="742" t="s">
        <v>654</v>
      </c>
      <c r="C36" s="743"/>
      <c r="D36" s="744"/>
      <c r="H36" s="19"/>
    </row>
    <row r="37" spans="1:18" ht="39.950000000000003" customHeight="1" x14ac:dyDescent="0.2">
      <c r="B37" s="229" t="s">
        <v>543</v>
      </c>
      <c r="C37" s="224" t="str">
        <f>IF((O37&amp;" "&amp;P37)="TRUE TRUE","Please select only one option","")</f>
        <v/>
      </c>
      <c r="D37" s="231"/>
      <c r="E37" s="94" t="str">
        <f>IF(M37=1,"*","")</f>
        <v>*</v>
      </c>
      <c r="F37" s="19"/>
      <c r="G37" s="20"/>
      <c r="H37" s="19"/>
      <c r="M37" s="36">
        <f>IF((O37&amp;" "&amp;P37)="TRUE FALSE",0,IF((O37&amp;" "&amp;P37)="FALSE TRUE",0,1))+IF((O37&amp;" "&amp;P37)="TRUE FALSE",IF(ISBLANK(D37)=TRUE,1,0))</f>
        <v>1</v>
      </c>
      <c r="N37" s="36">
        <f>IF((O37&amp;" "&amp;P37)="FALSE TRUE",1,0)</f>
        <v>0</v>
      </c>
      <c r="O37" s="83" t="b">
        <v>0</v>
      </c>
      <c r="P37" s="83" t="b">
        <v>0</v>
      </c>
      <c r="Q37" s="36">
        <f>IF((O37&amp;" "&amp;P37)="FALSE TRUE",1,0)</f>
        <v>0</v>
      </c>
    </row>
    <row r="38" spans="1:18" ht="39.950000000000003" customHeight="1" x14ac:dyDescent="0.2">
      <c r="B38" s="229" t="s">
        <v>544</v>
      </c>
      <c r="C38" s="224" t="str">
        <f>IF((O38&amp;" "&amp;P38)="TRUE TRUE","Please select only one option","")</f>
        <v/>
      </c>
      <c r="D38" s="231"/>
      <c r="E38" s="94" t="str">
        <f>IF(M38=1,"*","")</f>
        <v>*</v>
      </c>
      <c r="F38" s="19"/>
      <c r="G38" s="20"/>
      <c r="H38" s="19"/>
      <c r="M38" s="36">
        <f>IF((O38&amp;" "&amp;P38)="TRUE FALSE",0,IF((O38&amp;" "&amp;P38)="FALSE TRUE",0,1))+IF((O38&amp;" "&amp;P38)="TRUE FALSE",IF(ISBLANK(D38)=TRUE,1,0))</f>
        <v>1</v>
      </c>
      <c r="N38" s="36">
        <f>IF((O38&amp;" "&amp;P38)="FALSE TRUE",1,0)</f>
        <v>0</v>
      </c>
      <c r="O38" s="83" t="b">
        <v>0</v>
      </c>
      <c r="P38" s="83" t="b">
        <v>0</v>
      </c>
      <c r="Q38" s="36">
        <f>IF((O38&amp;" "&amp;P38)="FALSE TRUE",1,0)</f>
        <v>0</v>
      </c>
    </row>
    <row r="39" spans="1:18" ht="39.950000000000003" customHeight="1" x14ac:dyDescent="0.2">
      <c r="B39" s="229" t="s">
        <v>542</v>
      </c>
      <c r="C39" s="224" t="str">
        <f>IF((O39&amp;" "&amp;P39)="TRUE TRUE","Please select only one option","")</f>
        <v/>
      </c>
      <c r="D39" s="231"/>
      <c r="E39" s="94" t="str">
        <f>IF(M39=1,"*","")</f>
        <v>*</v>
      </c>
      <c r="F39" s="19"/>
      <c r="G39" s="20"/>
      <c r="H39" s="19"/>
      <c r="M39" s="36">
        <f>IF((O39&amp;" "&amp;P39)="TRUE FALSE",0,IF((O39&amp;" "&amp;P39)="FALSE TRUE",0,1))+IF((O39&amp;" "&amp;P39)="TRUE FALSE",IF(ISBLANK(D39)=TRUE,1,0))</f>
        <v>1</v>
      </c>
      <c r="N39" s="36">
        <f>IF((O39&amp;" "&amp;P39)="FALSE TRUE",1,0)</f>
        <v>0</v>
      </c>
      <c r="O39" s="83" t="b">
        <v>0</v>
      </c>
      <c r="P39" s="83" t="b">
        <v>0</v>
      </c>
      <c r="Q39" s="36">
        <f>IF((O39&amp;" "&amp;P39)="FALSE TRUE",1,0)</f>
        <v>0</v>
      </c>
    </row>
    <row r="40" spans="1:18" ht="39.950000000000003" customHeight="1" thickBot="1" x14ac:dyDescent="0.25">
      <c r="B40" s="232" t="s">
        <v>545</v>
      </c>
      <c r="C40" s="238" t="str">
        <f>IF((O40&amp;" "&amp;P40)="TRUE TRUE","Please select only one option","")</f>
        <v/>
      </c>
      <c r="D40" s="233"/>
      <c r="E40" s="94" t="str">
        <f>IF(M40=1,"*","")</f>
        <v>*</v>
      </c>
      <c r="F40" s="19"/>
      <c r="G40" s="20"/>
      <c r="H40" s="19"/>
      <c r="M40" s="36">
        <f>IF((O40&amp;" "&amp;P40)="TRUE FALSE",0,IF((O40&amp;" "&amp;P40)="FALSE TRUE",0,1))+IF((O40&amp;" "&amp;P40)="TRUE FALSE",IF(ISBLANK(D40)=TRUE,1,0))</f>
        <v>1</v>
      </c>
      <c r="N40" s="36">
        <f>IF((O40&amp;" "&amp;P40)="FALSE TRUE",1,0)</f>
        <v>0</v>
      </c>
      <c r="O40" s="83" t="b">
        <v>0</v>
      </c>
      <c r="P40" s="83" t="b">
        <v>0</v>
      </c>
      <c r="Q40" s="36">
        <f>IF((O40&amp;" "&amp;P40)="FALSE TRUE",1,0)</f>
        <v>0</v>
      </c>
    </row>
    <row r="41" spans="1:18" ht="15.95" customHeight="1" x14ac:dyDescent="0.2">
      <c r="B41" s="61"/>
      <c r="D41" s="51"/>
      <c r="H41" s="19"/>
    </row>
    <row r="42" spans="1:18" ht="15.95" customHeight="1" x14ac:dyDescent="0.2">
      <c r="B42" s="227" t="str">
        <f>IF(SUM(Q37:Q40)&gt;0,"Please note that your application will not proceed until all the required documentation is submitted","")</f>
        <v/>
      </c>
      <c r="C42" s="225"/>
      <c r="D42" s="226"/>
      <c r="H42" s="19"/>
    </row>
    <row r="43" spans="1:18" ht="15.95" customHeight="1" thickBot="1" x14ac:dyDescent="0.25">
      <c r="B43" s="61"/>
      <c r="D43" s="51"/>
      <c r="H43" s="19"/>
    </row>
    <row r="44" spans="1:18" ht="39.950000000000003" customHeight="1" x14ac:dyDescent="0.2">
      <c r="B44" s="453" t="s">
        <v>449</v>
      </c>
      <c r="C44" s="456" t="s">
        <v>734</v>
      </c>
      <c r="D44" s="454" t="s">
        <v>721</v>
      </c>
      <c r="E44" s="422"/>
      <c r="H44" s="19"/>
    </row>
    <row r="45" spans="1:18" ht="108" customHeight="1" thickBot="1" x14ac:dyDescent="0.25">
      <c r="B45" s="635" t="s">
        <v>837</v>
      </c>
      <c r="C45" s="248" t="str">
        <f>IF((O45&amp;" "&amp;P45)="TRUE TRUE","Please select only one option","")</f>
        <v/>
      </c>
      <c r="D45" s="471"/>
      <c r="E45" s="94" t="str">
        <f>IF(M45=1,"*","")</f>
        <v>*</v>
      </c>
      <c r="H45" s="19"/>
      <c r="M45" s="36">
        <f>IF((O45&amp;" "&amp;P45)="TRUE FALSE",0,IF((O45&amp;" "&amp;P45)="FALSE TRUE",0,1))+R45</f>
        <v>1</v>
      </c>
      <c r="N45" s="11"/>
      <c r="O45" s="83" t="b">
        <v>0</v>
      </c>
      <c r="P45" s="79" t="b">
        <v>0</v>
      </c>
      <c r="Q45" s="36">
        <f>IF((O45&amp;" "&amp;P45)="TRUE FALSE","Yes",IF((O45&amp;" "&amp;P45)="FALSE TRUE","No",1))</f>
        <v>1</v>
      </c>
      <c r="R45" s="36" t="b">
        <f>IF(Q45="No",IF(ISNUMBER(D45)=TRUE,0,1))</f>
        <v>0</v>
      </c>
    </row>
    <row r="46" spans="1:18" ht="15.95" customHeight="1" x14ac:dyDescent="0.2">
      <c r="B46" s="214"/>
      <c r="C46" s="72"/>
      <c r="D46" s="94"/>
      <c r="E46" s="51"/>
      <c r="H46" s="19"/>
      <c r="L46" s="38" t="s">
        <v>667</v>
      </c>
      <c r="M46" s="38" t="str">
        <f>IF(SUM(M9:M45)&lt;&gt;0,"Invalid","Valid")</f>
        <v>Invalid</v>
      </c>
      <c r="N46" s="11"/>
      <c r="O46" s="79"/>
      <c r="P46" s="79"/>
    </row>
    <row r="47" spans="1:18" ht="15.95" customHeight="1" x14ac:dyDescent="0.2">
      <c r="B47" s="333" t="str">
        <f>IF(Q45="No",IF(ISNUMBER(D45)=TRUE,"Please note that your application will not proceed until all the required documentation is submitted",""),"")</f>
        <v/>
      </c>
      <c r="C47" s="415"/>
      <c r="D47" s="455"/>
      <c r="E47" s="51"/>
      <c r="H47" s="19"/>
      <c r="M47" s="36"/>
      <c r="N47" s="11"/>
      <c r="O47" s="79"/>
      <c r="P47" s="79"/>
    </row>
    <row r="48" spans="1:18" ht="15.95" customHeight="1" thickBot="1" x14ac:dyDescent="0.25">
      <c r="B48" s="214"/>
      <c r="C48" s="72"/>
      <c r="D48" s="94"/>
      <c r="E48" s="51"/>
      <c r="H48" s="19"/>
      <c r="M48" s="36"/>
      <c r="N48" s="11"/>
      <c r="O48" s="79"/>
      <c r="P48" s="79"/>
    </row>
    <row r="49" spans="2:19" ht="39.950000000000003" customHeight="1" thickBot="1" x14ac:dyDescent="0.25">
      <c r="B49" s="775" t="s">
        <v>833</v>
      </c>
      <c r="C49" s="776"/>
      <c r="D49" s="776"/>
      <c r="E49" s="777"/>
      <c r="H49" s="19"/>
    </row>
    <row r="50" spans="2:19" ht="96" customHeight="1" thickBot="1" x14ac:dyDescent="0.25">
      <c r="B50" s="772" t="s">
        <v>649</v>
      </c>
      <c r="C50" s="773"/>
      <c r="D50" s="773"/>
      <c r="E50" s="774"/>
      <c r="H50" s="19"/>
    </row>
    <row r="51" spans="2:19" ht="63.95" customHeight="1" thickBot="1" x14ac:dyDescent="0.25">
      <c r="B51" s="204"/>
      <c r="C51" s="598" t="s">
        <v>433</v>
      </c>
      <c r="D51" s="598" t="s">
        <v>625</v>
      </c>
      <c r="E51" s="599" t="s">
        <v>835</v>
      </c>
      <c r="F51" s="59"/>
      <c r="H51" s="19"/>
      <c r="S51" s="36"/>
    </row>
    <row r="52" spans="2:19" ht="42" customHeight="1" thickBot="1" x14ac:dyDescent="0.25">
      <c r="B52" s="243" t="s">
        <v>336</v>
      </c>
      <c r="C52" s="638" t="str">
        <f t="shared" ref="C52:C62" si="0">IF((O52&amp;" "&amp;P52)="TRUE TRUE","Please select only one option","")</f>
        <v/>
      </c>
      <c r="D52" s="244"/>
      <c r="E52" s="562"/>
      <c r="F52" s="94" t="str">
        <f>IF(M52=1,"*","")</f>
        <v>*</v>
      </c>
      <c r="H52" s="19"/>
      <c r="M52" s="36">
        <f>IF((O52&amp;" "&amp;P52)="TRUE FALSE",0,IF((O52&amp;" "&amp;P52)="FALSE TRUE",0,1))+IF(N52="Yes",IF(ISBLANK(D52)=TRUE,1,0))+IF(N52="No",IF(ISNUMBER(E52)=FALSE,1,0))</f>
        <v>1</v>
      </c>
      <c r="N52" s="36" t="str">
        <f t="shared" ref="N52:N62" si="1">IF((O52&amp;" "&amp;P52)="TRUE FALSE","Yes",IF((O52&amp;" "&amp;P52)="FALSE TRUE","No",""))</f>
        <v/>
      </c>
      <c r="O52" s="79" t="b">
        <v>0</v>
      </c>
      <c r="P52" s="79" t="b">
        <v>0</v>
      </c>
      <c r="S52" s="36">
        <f t="shared" ref="S52:S63" si="2">IF(N52="No",IF(ISNUMBER(E52)=TRUE,1,0),0)</f>
        <v>0</v>
      </c>
    </row>
    <row r="53" spans="2:19" ht="42" customHeight="1" thickBot="1" x14ac:dyDescent="0.25">
      <c r="B53" s="239" t="s">
        <v>337</v>
      </c>
      <c r="C53" s="639" t="str">
        <f t="shared" si="0"/>
        <v/>
      </c>
      <c r="D53" s="240"/>
      <c r="E53" s="563"/>
      <c r="F53" s="94" t="str">
        <f t="shared" ref="F53:F63" si="3">IF(M53=1,"*","")</f>
        <v>*</v>
      </c>
      <c r="H53" s="19"/>
      <c r="M53" s="36">
        <f t="shared" ref="M53:M62" si="4">IF((O53&amp;" "&amp;P53)="TRUE FALSE",0,IF((O53&amp;" "&amp;P53)="FALSE TRUE",0,1))+IF(N53="Yes",IF(ISBLANK(D53)=TRUE,1,0))+IF(N53="No",IF(ISNUMBER(E53)=FALSE,1,0))</f>
        <v>1</v>
      </c>
      <c r="N53" s="36" t="str">
        <f t="shared" si="1"/>
        <v/>
      </c>
      <c r="O53" s="79" t="b">
        <v>0</v>
      </c>
      <c r="P53" s="79" t="b">
        <v>0</v>
      </c>
      <c r="S53" s="36">
        <f t="shared" si="2"/>
        <v>0</v>
      </c>
    </row>
    <row r="54" spans="2:19" ht="42" customHeight="1" thickBot="1" x14ac:dyDescent="0.25">
      <c r="B54" s="239" t="s">
        <v>338</v>
      </c>
      <c r="C54" s="639" t="str">
        <f t="shared" si="0"/>
        <v/>
      </c>
      <c r="D54" s="240"/>
      <c r="E54" s="563"/>
      <c r="F54" s="94" t="str">
        <f t="shared" si="3"/>
        <v>*</v>
      </c>
      <c r="H54" s="19"/>
      <c r="M54" s="36">
        <f t="shared" si="4"/>
        <v>1</v>
      </c>
      <c r="N54" s="36" t="str">
        <f t="shared" si="1"/>
        <v/>
      </c>
      <c r="O54" s="79" t="b">
        <v>0</v>
      </c>
      <c r="P54" s="79" t="b">
        <v>0</v>
      </c>
      <c r="S54" s="36">
        <f t="shared" si="2"/>
        <v>0</v>
      </c>
    </row>
    <row r="55" spans="2:19" ht="42" customHeight="1" thickBot="1" x14ac:dyDescent="0.25">
      <c r="B55" s="239" t="s">
        <v>339</v>
      </c>
      <c r="C55" s="639" t="str">
        <f t="shared" si="0"/>
        <v/>
      </c>
      <c r="D55" s="240"/>
      <c r="E55" s="563"/>
      <c r="F55" s="94" t="str">
        <f t="shared" si="3"/>
        <v>*</v>
      </c>
      <c r="H55" s="19"/>
      <c r="M55" s="36">
        <f t="shared" si="4"/>
        <v>1</v>
      </c>
      <c r="N55" s="36" t="str">
        <f t="shared" si="1"/>
        <v/>
      </c>
      <c r="O55" s="79" t="b">
        <v>0</v>
      </c>
      <c r="P55" s="79" t="b">
        <v>0</v>
      </c>
      <c r="S55" s="36">
        <f t="shared" si="2"/>
        <v>0</v>
      </c>
    </row>
    <row r="56" spans="2:19" ht="42" customHeight="1" thickBot="1" x14ac:dyDescent="0.25">
      <c r="B56" s="239" t="s">
        <v>340</v>
      </c>
      <c r="C56" s="639" t="str">
        <f t="shared" si="0"/>
        <v/>
      </c>
      <c r="D56" s="240"/>
      <c r="E56" s="563"/>
      <c r="F56" s="94" t="str">
        <f t="shared" si="3"/>
        <v>*</v>
      </c>
      <c r="H56" s="19"/>
      <c r="M56" s="36">
        <f t="shared" si="4"/>
        <v>1</v>
      </c>
      <c r="N56" s="36" t="str">
        <f t="shared" si="1"/>
        <v/>
      </c>
      <c r="O56" s="79" t="b">
        <v>0</v>
      </c>
      <c r="P56" s="79" t="b">
        <v>0</v>
      </c>
      <c r="S56" s="36">
        <f t="shared" si="2"/>
        <v>0</v>
      </c>
    </row>
    <row r="57" spans="2:19" ht="42" customHeight="1" thickBot="1" x14ac:dyDescent="0.25">
      <c r="B57" s="239" t="s">
        <v>341</v>
      </c>
      <c r="C57" s="639" t="str">
        <f t="shared" si="0"/>
        <v/>
      </c>
      <c r="D57" s="240"/>
      <c r="E57" s="563"/>
      <c r="F57" s="94" t="str">
        <f t="shared" si="3"/>
        <v>*</v>
      </c>
      <c r="H57" s="19"/>
      <c r="M57" s="36">
        <f t="shared" si="4"/>
        <v>1</v>
      </c>
      <c r="N57" s="36" t="str">
        <f t="shared" si="1"/>
        <v/>
      </c>
      <c r="O57" s="79" t="b">
        <v>0</v>
      </c>
      <c r="P57" s="79" t="b">
        <v>0</v>
      </c>
      <c r="S57" s="36">
        <f t="shared" si="2"/>
        <v>0</v>
      </c>
    </row>
    <row r="58" spans="2:19" ht="42" customHeight="1" thickBot="1" x14ac:dyDescent="0.25">
      <c r="B58" s="239" t="s">
        <v>342</v>
      </c>
      <c r="C58" s="639" t="str">
        <f t="shared" si="0"/>
        <v/>
      </c>
      <c r="D58" s="240"/>
      <c r="E58" s="563"/>
      <c r="F58" s="94" t="str">
        <f t="shared" si="3"/>
        <v>*</v>
      </c>
      <c r="H58" s="19"/>
      <c r="M58" s="36">
        <f t="shared" si="4"/>
        <v>1</v>
      </c>
      <c r="N58" s="36" t="str">
        <f t="shared" si="1"/>
        <v/>
      </c>
      <c r="O58" s="79" t="b">
        <v>0</v>
      </c>
      <c r="P58" s="79" t="b">
        <v>0</v>
      </c>
      <c r="S58" s="36">
        <f t="shared" si="2"/>
        <v>0</v>
      </c>
    </row>
    <row r="59" spans="2:19" ht="42" customHeight="1" thickBot="1" x14ac:dyDescent="0.25">
      <c r="B59" s="636" t="s">
        <v>838</v>
      </c>
      <c r="C59" s="639" t="str">
        <f t="shared" si="0"/>
        <v/>
      </c>
      <c r="D59" s="240"/>
      <c r="E59" s="563"/>
      <c r="F59" s="94" t="str">
        <f t="shared" si="3"/>
        <v>*</v>
      </c>
      <c r="H59" s="19"/>
      <c r="M59" s="36">
        <f t="shared" si="4"/>
        <v>1</v>
      </c>
      <c r="N59" s="36" t="str">
        <f t="shared" si="1"/>
        <v/>
      </c>
      <c r="O59" s="79" t="b">
        <v>0</v>
      </c>
      <c r="P59" s="79" t="b">
        <v>0</v>
      </c>
      <c r="S59" s="36">
        <f t="shared" si="2"/>
        <v>0</v>
      </c>
    </row>
    <row r="60" spans="2:19" ht="42" customHeight="1" thickBot="1" x14ac:dyDescent="0.25">
      <c r="B60" s="239" t="s">
        <v>847</v>
      </c>
      <c r="C60" s="639" t="str">
        <f t="shared" si="0"/>
        <v/>
      </c>
      <c r="D60" s="240"/>
      <c r="E60" s="563"/>
      <c r="F60" s="94" t="str">
        <f t="shared" si="3"/>
        <v>*</v>
      </c>
      <c r="H60" s="19"/>
      <c r="M60" s="36">
        <f t="shared" si="4"/>
        <v>1</v>
      </c>
      <c r="N60" s="36" t="str">
        <f t="shared" si="1"/>
        <v/>
      </c>
      <c r="O60" s="79" t="b">
        <v>0</v>
      </c>
      <c r="P60" s="79" t="b">
        <v>0</v>
      </c>
      <c r="S60" s="36">
        <f t="shared" si="2"/>
        <v>0</v>
      </c>
    </row>
    <row r="61" spans="2:19" ht="42" customHeight="1" thickBot="1" x14ac:dyDescent="0.25">
      <c r="B61" s="241" t="s">
        <v>745</v>
      </c>
      <c r="C61" s="639" t="str">
        <f t="shared" si="0"/>
        <v/>
      </c>
      <c r="D61" s="240"/>
      <c r="E61" s="563"/>
      <c r="F61" s="94" t="str">
        <f t="shared" si="3"/>
        <v>*</v>
      </c>
      <c r="H61" s="19"/>
      <c r="M61" s="36">
        <f t="shared" si="4"/>
        <v>1</v>
      </c>
      <c r="N61" s="36" t="str">
        <f t="shared" si="1"/>
        <v/>
      </c>
      <c r="O61" s="79" t="b">
        <v>0</v>
      </c>
      <c r="P61" s="79" t="b">
        <v>0</v>
      </c>
      <c r="S61" s="36">
        <f t="shared" si="2"/>
        <v>0</v>
      </c>
    </row>
    <row r="62" spans="2:19" ht="48" customHeight="1" thickBot="1" x14ac:dyDescent="0.25">
      <c r="B62" s="241" t="s">
        <v>744</v>
      </c>
      <c r="C62" s="639" t="str">
        <f t="shared" si="0"/>
        <v/>
      </c>
      <c r="D62" s="240"/>
      <c r="E62" s="563"/>
      <c r="F62" s="94" t="str">
        <f t="shared" si="3"/>
        <v>*</v>
      </c>
      <c r="H62" s="19"/>
      <c r="M62" s="36">
        <f t="shared" si="4"/>
        <v>1</v>
      </c>
      <c r="N62" s="36" t="str">
        <f t="shared" si="1"/>
        <v/>
      </c>
      <c r="O62" s="79" t="b">
        <v>0</v>
      </c>
      <c r="P62" s="79" t="b">
        <v>0</v>
      </c>
      <c r="S62" s="36">
        <f t="shared" si="2"/>
        <v>0</v>
      </c>
    </row>
    <row r="63" spans="2:19" ht="42" customHeight="1" thickBot="1" x14ac:dyDescent="0.25">
      <c r="B63" s="470" t="s">
        <v>683</v>
      </c>
      <c r="C63" s="640" t="str">
        <f>IF(R63=1,"Please select only one option","")</f>
        <v/>
      </c>
      <c r="D63" s="242"/>
      <c r="E63" s="564"/>
      <c r="F63" s="94" t="str">
        <f t="shared" si="3"/>
        <v>*</v>
      </c>
      <c r="H63" s="19"/>
      <c r="M63" s="36">
        <f>IF((O63&amp;" "&amp;P63&amp;" "&amp;Q63)="TRUE FALSE FALSE",0,IF((O63&amp;" "&amp;P63&amp;" "&amp;Q63)="FALSE TRUE FALSE",0,IF((O63&amp;" "&amp;P63&amp;" "&amp;Q63)="FALSE FALSE TRUE",0,1)))+IF(N63="Yes",IF(ISBLANK(D63)=TRUE,1,0))+IF(N63="No",IF(ISNUMBER(E63)=FALSE,1,0))</f>
        <v>1</v>
      </c>
      <c r="N63" s="36" t="str">
        <f>IF((O63&amp;" "&amp;P63&amp;" "&amp;Q63)="TRUE FALSE FALSE","Yes",IF((O63&amp;" "&amp;P63&amp;" "&amp;$Q$63)="FALSE TRUE FALSE","No",IF((O63&amp;" "&amp;P63&amp;" "&amp;$Q$63)="FALSE FALSE TRUE","N/A","")))</f>
        <v/>
      </c>
      <c r="O63" s="79" t="b">
        <v>0</v>
      </c>
      <c r="P63" s="79" t="b">
        <v>0</v>
      </c>
      <c r="Q63" s="83" t="b">
        <v>0</v>
      </c>
      <c r="R63" s="36">
        <f>IF(COUNTIF(O63:Q63,"TRUE")&gt;=2,1,0)</f>
        <v>0</v>
      </c>
      <c r="S63" s="36">
        <f t="shared" si="2"/>
        <v>0</v>
      </c>
    </row>
    <row r="64" spans="2:19" ht="15.95" customHeight="1" x14ac:dyDescent="0.2">
      <c r="B64" s="758"/>
      <c r="C64" s="758"/>
      <c r="D64" s="758"/>
      <c r="E64" s="758"/>
      <c r="H64" s="19"/>
      <c r="M64" s="36"/>
    </row>
    <row r="65" spans="2:22" ht="15.95" customHeight="1" x14ac:dyDescent="0.2">
      <c r="B65" s="226" t="str">
        <f>IF(COUNTIF(N52:N63,"No")&lt;&gt;0,IF(SUM(S52:S63)&lt;&gt;0,"Please note that your application will not proceed until all the above Policies &amp; Procedures are in place and have been submitted ",""),"")</f>
        <v/>
      </c>
      <c r="C65" s="257"/>
      <c r="D65" s="257"/>
      <c r="E65" s="257"/>
      <c r="H65" s="19"/>
    </row>
    <row r="66" spans="2:22" ht="15.95" customHeight="1" thickBot="1" x14ac:dyDescent="0.25">
      <c r="H66" s="19"/>
    </row>
    <row r="67" spans="2:22" ht="48" customHeight="1" x14ac:dyDescent="0.2">
      <c r="B67" s="125" t="s">
        <v>449</v>
      </c>
      <c r="C67" s="626" t="s">
        <v>713</v>
      </c>
      <c r="D67" s="626" t="s">
        <v>710</v>
      </c>
      <c r="E67" s="627" t="s">
        <v>722</v>
      </c>
      <c r="F67" s="59"/>
      <c r="H67" s="19"/>
    </row>
    <row r="68" spans="2:22" ht="104.1" customHeight="1" x14ac:dyDescent="0.2">
      <c r="B68" s="246" t="s">
        <v>720</v>
      </c>
      <c r="C68" s="247" t="str">
        <f>IF((O68&amp;" "&amp;P68)="TRUE TRUE","Please select only one option","")</f>
        <v/>
      </c>
      <c r="D68" s="188"/>
      <c r="E68" s="625"/>
      <c r="F68" s="94" t="str">
        <f t="shared" ref="F68:F69" si="5">IF(M68=1,"*","")</f>
        <v>*</v>
      </c>
      <c r="G68" s="20"/>
      <c r="H68" s="19"/>
      <c r="M68" s="36">
        <f t="shared" ref="M68" si="6">IF((O68&amp;" "&amp;P68)="TRUE FALSE",0,IF((O68&amp;" "&amp;P68)="FALSE TRUE",0,1))+IF(N68="Yes",IF(ISBLANK(D68)=TRUE,1,0))+IF(N68="No",IF(ISNUMBER(E68)=FALSE,1,0))</f>
        <v>1</v>
      </c>
      <c r="N68" s="36" t="str">
        <f>IF((O68&amp;" "&amp;P68)="TRUE FALSE","Yes",IF((O68&amp;" "&amp;P68)="FALSE TRUE","No",""))</f>
        <v/>
      </c>
      <c r="O68" s="79" t="b">
        <v>0</v>
      </c>
      <c r="P68" s="79" t="b">
        <v>0</v>
      </c>
      <c r="Q68" s="36">
        <f>IF((O68&amp;" "&amp;P68)="FALSE TRUE",1,0)</f>
        <v>0</v>
      </c>
      <c r="S68" s="36">
        <f>IF(N68="No",IF(ISNUMBER(E68)=TRUE,1,0),0)</f>
        <v>0</v>
      </c>
    </row>
    <row r="69" spans="2:22" ht="104.1" customHeight="1" thickBot="1" x14ac:dyDescent="0.25">
      <c r="B69" s="347" t="s">
        <v>626</v>
      </c>
      <c r="C69" s="248" t="str">
        <f>IF((O69&amp;" "&amp;P69)="TRUE TRUE","Please select only one option","")</f>
        <v/>
      </c>
      <c r="D69" s="177"/>
      <c r="E69" s="471"/>
      <c r="F69" s="94" t="str">
        <f t="shared" si="5"/>
        <v>*</v>
      </c>
      <c r="G69" s="20"/>
      <c r="H69" s="19"/>
      <c r="M69" s="36">
        <f t="shared" ref="M69" si="7">IF((O69&amp;" "&amp;P69)="TRUE FALSE",0,IF((O69&amp;" "&amp;P69)="FALSE TRUE",0,1))+IF(N69="Yes",IF(ISBLANK(D69)=TRUE,1,0))+IF(N69="No",IF(ISNUMBER(E69)=FALSE,1,0))</f>
        <v>1</v>
      </c>
      <c r="N69" s="36" t="str">
        <f>IF((O69&amp;" "&amp;P69)="TRUE FALSE","Yes",IF((O69&amp;" "&amp;P69)="FALSE TRUE","No",""))</f>
        <v/>
      </c>
      <c r="O69" s="79" t="b">
        <v>0</v>
      </c>
      <c r="P69" s="79" t="b">
        <v>0</v>
      </c>
      <c r="Q69" s="36">
        <f>IF((O69&amp;" "&amp;P69)="FALSE TRUE",1,0)</f>
        <v>0</v>
      </c>
      <c r="S69" s="36">
        <f>IF(N69="No",IF(ISNUMBER(E69)=TRUE,1,0),0)</f>
        <v>0</v>
      </c>
    </row>
    <row r="70" spans="2:22" ht="15.95" customHeight="1" x14ac:dyDescent="0.2">
      <c r="B70" s="56"/>
      <c r="C70" s="33"/>
      <c r="D70" s="62"/>
      <c r="E70" s="57"/>
      <c r="F70" s="59"/>
      <c r="H70" s="19"/>
    </row>
    <row r="71" spans="2:22" ht="15.95" customHeight="1" x14ac:dyDescent="0.2">
      <c r="B71" s="226" t="str">
        <f>IF(COUNTIF(N68:N69,"No")&lt;&gt;0,IF(SUM(S68:S69)&lt;&gt;0,"Please note that your application will not proceed until all the required documentation is submitted",""),"")</f>
        <v/>
      </c>
      <c r="C71" s="408"/>
      <c r="D71" s="320"/>
      <c r="E71" s="414"/>
      <c r="F71" s="59"/>
      <c r="H71" s="19"/>
      <c r="L71" s="38" t="s">
        <v>667</v>
      </c>
      <c r="M71" s="38" t="str">
        <f>IF(SUM(M52:M70)&lt;&gt;0,"Invalid","Valid")</f>
        <v>Invalid</v>
      </c>
    </row>
    <row r="72" spans="2:22" ht="15.95" customHeight="1" thickBot="1" x14ac:dyDescent="0.25">
      <c r="B72" s="434"/>
      <c r="C72" s="237"/>
      <c r="D72" s="320"/>
      <c r="H72" s="19"/>
      <c r="L72" s="38"/>
      <c r="M72" s="38"/>
    </row>
    <row r="73" spans="2:22" ht="39.950000000000003" customHeight="1" x14ac:dyDescent="0.2">
      <c r="B73" s="739" t="s">
        <v>682</v>
      </c>
      <c r="C73" s="740"/>
      <c r="D73" s="740"/>
      <c r="E73" s="741"/>
      <c r="H73" s="19"/>
    </row>
    <row r="74" spans="2:22" ht="39.950000000000003" customHeight="1" thickBot="1" x14ac:dyDescent="0.25">
      <c r="B74" s="759" t="s">
        <v>610</v>
      </c>
      <c r="C74" s="760"/>
      <c r="D74" s="760"/>
      <c r="E74" s="761"/>
      <c r="F74" s="11"/>
      <c r="H74" s="19"/>
      <c r="P74" s="36"/>
      <c r="Q74" s="36" t="s">
        <v>333</v>
      </c>
      <c r="R74" s="36" t="s">
        <v>334</v>
      </c>
      <c r="S74" s="36" t="s">
        <v>332</v>
      </c>
    </row>
    <row r="75" spans="2:22" ht="26.25" thickBot="1" x14ac:dyDescent="0.25">
      <c r="B75" s="252"/>
      <c r="C75" s="603" t="s">
        <v>7</v>
      </c>
      <c r="D75" s="603" t="s">
        <v>8</v>
      </c>
      <c r="E75" s="604" t="s">
        <v>9</v>
      </c>
      <c r="H75" s="19"/>
      <c r="O75" s="37" t="s">
        <v>53</v>
      </c>
      <c r="P75" s="37" t="s">
        <v>54</v>
      </c>
      <c r="Q75" s="37" t="s">
        <v>59</v>
      </c>
      <c r="R75" s="40" t="s">
        <v>335</v>
      </c>
      <c r="S75" s="40" t="s">
        <v>669</v>
      </c>
      <c r="T75" s="40" t="s">
        <v>670</v>
      </c>
      <c r="U75" s="40" t="s">
        <v>671</v>
      </c>
      <c r="V75" s="40" t="s">
        <v>672</v>
      </c>
    </row>
    <row r="76" spans="2:22" ht="42" customHeight="1" thickBot="1" x14ac:dyDescent="0.25">
      <c r="B76" s="451" t="s">
        <v>655</v>
      </c>
      <c r="C76" s="245" t="str">
        <f>IF(R76="Please select only one option","Please select only one option","")</f>
        <v/>
      </c>
      <c r="D76" s="245" t="str">
        <f>IF(R77="Please select only one option","Please select only one option","")</f>
        <v/>
      </c>
      <c r="E76" s="251" t="str">
        <f>IF(R78="Please select only one option","Please select only one option","")</f>
        <v/>
      </c>
      <c r="F76" s="102" t="str">
        <f>IF(S79=1,"*","")</f>
        <v>*</v>
      </c>
      <c r="H76" s="19"/>
      <c r="M76" s="36">
        <f>S79</f>
        <v>1</v>
      </c>
      <c r="N76" s="73" t="s">
        <v>7</v>
      </c>
      <c r="O76" s="83" t="b">
        <v>0</v>
      </c>
      <c r="P76" s="83" t="b">
        <v>0</v>
      </c>
      <c r="Q76" s="83" t="b">
        <v>0</v>
      </c>
      <c r="R76" s="36">
        <f>VLOOKUP((O76&amp;" "&amp;P76&amp;" "&amp;Q76),True3,2,FALSE)</f>
        <v>0</v>
      </c>
      <c r="S76" s="36">
        <f>IF(R76=0,1,IF(R76="Please select only one option",1,IF(R76&lt;&gt;0,0,1)))</f>
        <v>1</v>
      </c>
      <c r="T76" s="36">
        <f>IF(AND(R76="Yes",ISNUMBER(C77)&lt;&gt;TRUE),1,0)</f>
        <v>0</v>
      </c>
      <c r="U76" s="36">
        <f>IF(AND(R76="No",ISNUMBER(C78)&lt;&gt;TRUE),1,0)</f>
        <v>0</v>
      </c>
      <c r="V76" s="36">
        <f>IF(R76=0,0,IF(R76="N/A",0,IF(R76&lt;&gt;"N/A",IF(ISERROR(EXACT(VLOOKUP(C79,Frequency1,1,FALSE),C79)),1,0))))</f>
        <v>0</v>
      </c>
    </row>
    <row r="77" spans="2:22" ht="42" customHeight="1" thickBot="1" x14ac:dyDescent="0.25">
      <c r="B77" s="448" t="s">
        <v>729</v>
      </c>
      <c r="C77" s="565"/>
      <c r="D77" s="565"/>
      <c r="E77" s="566"/>
      <c r="F77" s="102" t="str">
        <f>IF(T79=1,"*","")</f>
        <v/>
      </c>
      <c r="H77" s="19"/>
      <c r="M77" s="36">
        <f>T79</f>
        <v>0</v>
      </c>
      <c r="N77" s="73" t="s">
        <v>8</v>
      </c>
      <c r="O77" s="83" t="b">
        <v>0</v>
      </c>
      <c r="P77" s="83" t="b">
        <v>0</v>
      </c>
      <c r="Q77" s="83" t="b">
        <v>0</v>
      </c>
      <c r="R77" s="36">
        <f>VLOOKUP((O77&amp;" "&amp;P77&amp;" "&amp;Q77),True3,2,FALSE)</f>
        <v>0</v>
      </c>
      <c r="S77" s="36">
        <f>IF(R77=0,1,IF(R77="Please select only one option",1,IF(R77&lt;&gt;0,0,1)))</f>
        <v>1</v>
      </c>
      <c r="T77" s="36">
        <f>IF(AND(R77="Yes",ISNUMBER(D77)&lt;&gt;TRUE),1,0)</f>
        <v>0</v>
      </c>
      <c r="U77" s="36">
        <f>IF(AND(R77="No",ISNUMBER(D78)&lt;&gt;TRUE),1,0)</f>
        <v>0</v>
      </c>
      <c r="V77" s="36">
        <f>IF(R77=0,0,IF(R77="N/A",0,IF(R77&lt;&gt;"N/A",IF(ISERROR(EXACT(VLOOKUP(D79,Frequency1,1,FALSE),D79)),1,0))))</f>
        <v>0</v>
      </c>
    </row>
    <row r="78" spans="2:22" ht="42" customHeight="1" thickBot="1" x14ac:dyDescent="0.25">
      <c r="B78" s="448" t="s">
        <v>730</v>
      </c>
      <c r="C78" s="565"/>
      <c r="D78" s="565"/>
      <c r="E78" s="566"/>
      <c r="F78" s="102" t="str">
        <f>IF(U79=1,"*","")</f>
        <v/>
      </c>
      <c r="H78" s="19"/>
      <c r="M78" s="36">
        <f>U79</f>
        <v>0</v>
      </c>
      <c r="N78" s="73" t="s">
        <v>9</v>
      </c>
      <c r="O78" s="83" t="b">
        <v>0</v>
      </c>
      <c r="P78" s="83" t="b">
        <v>0</v>
      </c>
      <c r="Q78" s="83" t="b">
        <v>0</v>
      </c>
      <c r="R78" s="36">
        <f>VLOOKUP((O78&amp;" "&amp;P78&amp;" "&amp;Q78),True3,2,FALSE)</f>
        <v>0</v>
      </c>
      <c r="S78" s="36">
        <f>IF(R78=0,1,IF(R78="Please select only one option",1,IF(R78&lt;&gt;0,0,1)))</f>
        <v>1</v>
      </c>
      <c r="T78" s="36">
        <f>IF(AND(R78="Yes",ISNUMBER(E77)&lt;&gt;TRUE),1,0)</f>
        <v>0</v>
      </c>
      <c r="U78" s="36">
        <f>IF(AND(R78="No",ISNUMBER(E78)&lt;&gt;TRUE),1,0)</f>
        <v>0</v>
      </c>
      <c r="V78" s="36">
        <f>IF(R78=0,0,IF(R78="N/A",0,IF(R78&lt;&gt;"N/A",IF(ISERROR(EXACT(VLOOKUP(E79,Frequency1,1,FALSE),E79)),1,0))))</f>
        <v>0</v>
      </c>
    </row>
    <row r="79" spans="2:22" ht="42" customHeight="1" thickBot="1" x14ac:dyDescent="0.25">
      <c r="B79" s="452" t="s">
        <v>731</v>
      </c>
      <c r="C79" s="249"/>
      <c r="D79" s="249"/>
      <c r="E79" s="250"/>
      <c r="F79" s="102" t="str">
        <f>IF(V79=1,"*","")</f>
        <v/>
      </c>
      <c r="H79" s="19"/>
      <c r="M79" s="36">
        <f>V79</f>
        <v>0</v>
      </c>
      <c r="O79" s="36"/>
      <c r="P79" s="36"/>
      <c r="R79" s="36">
        <f>IF(COUNTIF(R76:R78,"N/A")&gt;0,1,0)</f>
        <v>0</v>
      </c>
      <c r="S79" s="36">
        <f>IF(SUM(S76:S78)&lt;&gt;0,1,0)</f>
        <v>1</v>
      </c>
      <c r="T79" s="36">
        <f>IF(SUM(T76:T78)&lt;&gt;0,1,0)</f>
        <v>0</v>
      </c>
      <c r="U79" s="36">
        <f>IF(SUM(U76:U78)&lt;&gt;0,1,0)</f>
        <v>0</v>
      </c>
      <c r="V79" s="36">
        <f>IF(SUM(V76:V78)&lt;&gt;0,1,0)</f>
        <v>0</v>
      </c>
    </row>
    <row r="80" spans="2:22" ht="15.95" customHeight="1" x14ac:dyDescent="0.2">
      <c r="B80" s="758"/>
      <c r="C80" s="758"/>
      <c r="D80" s="758"/>
      <c r="E80" s="758"/>
      <c r="H80" s="19"/>
      <c r="M80" s="36"/>
      <c r="R80" s="36"/>
      <c r="S80" s="36"/>
      <c r="T80" s="36"/>
    </row>
    <row r="81" spans="2:21" ht="15.95" customHeight="1" thickBot="1" x14ac:dyDescent="0.25">
      <c r="B81" s="420" t="s">
        <v>827</v>
      </c>
      <c r="C81" s="63"/>
      <c r="H81" s="19"/>
      <c r="M81" s="36"/>
      <c r="R81" s="36">
        <f>IF(R79=1,IF(B82="",1,""),0)</f>
        <v>0</v>
      </c>
      <c r="S81" s="36"/>
      <c r="T81" s="36"/>
      <c r="U81" s="1" t="s">
        <v>556</v>
      </c>
    </row>
    <row r="82" spans="2:21" ht="24" customHeight="1" x14ac:dyDescent="0.2">
      <c r="B82" s="762"/>
      <c r="C82" s="763"/>
      <c r="D82" s="763"/>
      <c r="E82" s="764"/>
      <c r="F82" s="747" t="str">
        <f>IF(M82=1,"*","")</f>
        <v/>
      </c>
      <c r="H82" s="19"/>
      <c r="M82" s="36">
        <f>IF(R79=1,IF(ISTEXT(B82)=TRUE,0,1),0)</f>
        <v>0</v>
      </c>
    </row>
    <row r="83" spans="2:21" ht="24" customHeight="1" x14ac:dyDescent="0.2">
      <c r="B83" s="765"/>
      <c r="C83" s="766"/>
      <c r="D83" s="766"/>
      <c r="E83" s="767"/>
      <c r="F83" s="747"/>
      <c r="H83" s="19"/>
      <c r="M83" s="36"/>
    </row>
    <row r="84" spans="2:21" ht="24" customHeight="1" thickBot="1" x14ac:dyDescent="0.25">
      <c r="B84" s="768"/>
      <c r="C84" s="769"/>
      <c r="D84" s="769"/>
      <c r="E84" s="770"/>
      <c r="F84" s="747"/>
      <c r="H84" s="19"/>
      <c r="M84" s="36"/>
    </row>
    <row r="85" spans="2:21" ht="15.95" customHeight="1" thickBot="1" x14ac:dyDescent="0.25">
      <c r="H85" s="19"/>
      <c r="M85" s="36"/>
    </row>
    <row r="86" spans="2:21" ht="32.1" customHeight="1" thickBot="1" x14ac:dyDescent="0.25">
      <c r="B86" s="462"/>
      <c r="C86" s="611" t="s">
        <v>10</v>
      </c>
      <c r="D86" s="612" t="s">
        <v>11</v>
      </c>
      <c r="H86" s="19"/>
    </row>
    <row r="87" spans="2:21" ht="48" customHeight="1" x14ac:dyDescent="0.2">
      <c r="B87" s="637" t="s">
        <v>839</v>
      </c>
      <c r="C87" s="463" t="str">
        <f>IF((O87&amp;" "&amp;P87)="TRUE TRUE","Please select only one option","")</f>
        <v/>
      </c>
      <c r="D87" s="464"/>
      <c r="E87" s="94" t="str">
        <f>IF(M87=1,"*","")</f>
        <v>*</v>
      </c>
      <c r="H87" s="19"/>
      <c r="M87" s="36">
        <f>IF((O87&amp;" "&amp;P87)="TRUE FALSE",0,IF((O87&amp;" "&amp;P87)="FALSE TRUE",0,1))</f>
        <v>1</v>
      </c>
      <c r="N87" s="36" t="str">
        <f>IF((O87&amp;" "&amp;P87)="TRUE FALSE","Yes",IF((O87&amp;" "&amp;P87)="FALSE TRUE","No",""))</f>
        <v/>
      </c>
      <c r="O87" s="79" t="b">
        <v>0</v>
      </c>
      <c r="P87" s="79" t="b">
        <v>0</v>
      </c>
    </row>
    <row r="88" spans="2:21" ht="96" customHeight="1" x14ac:dyDescent="0.2">
      <c r="B88" s="465" t="s">
        <v>650</v>
      </c>
      <c r="C88" s="230" t="str">
        <f>IF((O88&amp;" "&amp;P88)="TRUE TRUE","Please select only one option","")</f>
        <v/>
      </c>
      <c r="D88" s="466"/>
      <c r="E88" s="94" t="str">
        <f>IF(M88=1,"*","")</f>
        <v>*</v>
      </c>
      <c r="F88" s="386"/>
      <c r="H88" s="19"/>
      <c r="M88" s="36">
        <f>IF((O88&amp;" "&amp;P88)="TRUE FALSE",0,IF((O88&amp;" "&amp;P88)="FALSE TRUE",0,1))+IF(N88="No",IF(ISNUMBER(D88)=TRUE,0,1))</f>
        <v>1</v>
      </c>
      <c r="N88" s="36" t="str">
        <f>IF((O88&amp;" "&amp;P88)="TRUE FALSE","Yes",IF((O88&amp;" "&amp;P88)="FALSE TRUE","No",""))</f>
        <v/>
      </c>
      <c r="O88" s="79" t="b">
        <v>0</v>
      </c>
      <c r="P88" s="79" t="b">
        <v>0</v>
      </c>
    </row>
    <row r="89" spans="2:21" ht="48" customHeight="1" x14ac:dyDescent="0.2">
      <c r="B89" s="467" t="s">
        <v>627</v>
      </c>
      <c r="C89" s="230" t="str">
        <f>IF((O89&amp;" "&amp;P89)="TRUE TRUE","Please select only one option","")</f>
        <v/>
      </c>
      <c r="D89" s="322"/>
      <c r="E89" s="94" t="str">
        <f>IF(M89=1,"*","")</f>
        <v>*</v>
      </c>
      <c r="H89" s="19"/>
      <c r="M89" s="36">
        <f>IF((O89&amp;" "&amp;P89)="TRUE FALSE",0,IF((O89&amp;" "&amp;P89)="FALSE TRUE",0,1))</f>
        <v>1</v>
      </c>
      <c r="N89" s="36" t="str">
        <f>IF((O89&amp;" "&amp;P89)="TRUE FALSE","Yes",IF((O89&amp;" "&amp;P89)="FALSE TRUE","No",""))</f>
        <v/>
      </c>
      <c r="O89" s="79" t="b">
        <v>0</v>
      </c>
      <c r="P89" s="79" t="b">
        <v>0</v>
      </c>
    </row>
    <row r="90" spans="2:21" ht="48" customHeight="1" thickBot="1" x14ac:dyDescent="0.25">
      <c r="B90" s="468" t="s">
        <v>551</v>
      </c>
      <c r="C90" s="248" t="str">
        <f>IF((O90&amp;" "&amp;P90)="TRUE TRUE","Please select only one option","")</f>
        <v/>
      </c>
      <c r="D90" s="469"/>
      <c r="E90" s="94" t="str">
        <f>IF(M90=1,"*","")</f>
        <v>*</v>
      </c>
      <c r="H90" s="19"/>
      <c r="M90" s="36">
        <f>IF((O90&amp;" "&amp;P90)="TRUE FALSE",0,IF((O90&amp;" "&amp;P90)="FALSE TRUE",0,1))</f>
        <v>1</v>
      </c>
      <c r="N90" s="36" t="str">
        <f>IF((O90&amp;" "&amp;P90)="TRUE FALSE","Yes",IF((O90&amp;" "&amp;P90)="FALSE TRUE","No",""))</f>
        <v/>
      </c>
      <c r="O90" s="79" t="b">
        <v>0</v>
      </c>
      <c r="P90" s="79" t="b">
        <v>0</v>
      </c>
    </row>
    <row r="91" spans="2:21" ht="15.95" customHeight="1" thickBot="1" x14ac:dyDescent="0.25">
      <c r="B91" s="64"/>
      <c r="H91" s="19"/>
    </row>
    <row r="92" spans="2:21" ht="39.950000000000003" customHeight="1" thickBot="1" x14ac:dyDescent="0.25">
      <c r="B92" s="597" t="s">
        <v>684</v>
      </c>
      <c r="C92" s="599" t="s">
        <v>12</v>
      </c>
      <c r="H92" s="19"/>
    </row>
    <row r="93" spans="2:21" ht="39.950000000000003" customHeight="1" x14ac:dyDescent="0.2">
      <c r="B93" s="255" t="s">
        <v>14</v>
      </c>
      <c r="C93" s="260" t="str">
        <f>IF(COUNTIF(O93:Q93,"TRUE")&gt;1,"Please select only one option","")</f>
        <v/>
      </c>
      <c r="D93" s="94" t="str">
        <f>IF(M93=1,"*","")</f>
        <v>*</v>
      </c>
      <c r="H93" s="19"/>
      <c r="M93" s="36">
        <f>IF((O93&amp;" "&amp;P93&amp;" "&amp;Q93)="TRUE FALSE FALSE",0,IF((O93&amp;" "&amp;P93&amp;" "&amp;Q93)="FALSE TRUE FALSE",0,IF((O93&amp;" "&amp;P93&amp;" "&amp;Q93)="FALSE FALSE TRUE",0,1)))</f>
        <v>1</v>
      </c>
      <c r="N93" s="36" t="str">
        <f>IF((O93&amp;" "&amp;P93&amp;" "&amp;Q93)="TRUE FALSE FALSE","Yes",IF((O93&amp;" "&amp;P93&amp;" "&amp;Q93)="FALSE TRUE FALSE","No",IF((O93&amp;" "&amp;P93&amp;" "&amp;Q93)="FALSE FALSE TRUE","N/A","")))</f>
        <v/>
      </c>
      <c r="O93" s="79" t="b">
        <v>0</v>
      </c>
      <c r="P93" s="79" t="b">
        <v>0</v>
      </c>
      <c r="Q93" s="83" t="b">
        <v>0</v>
      </c>
      <c r="R93" s="36">
        <f>IF(COUNTIF(O93:Q93,"TRUE")&gt;=2,1,0)</f>
        <v>0</v>
      </c>
    </row>
    <row r="94" spans="2:21" ht="39.950000000000003" customHeight="1" x14ac:dyDescent="0.2">
      <c r="B94" s="131" t="s">
        <v>16</v>
      </c>
      <c r="C94" s="261" t="str">
        <f>IF(COUNTIF(O94:Q94,"TRUE")&gt;1,"Please select only one option","")</f>
        <v/>
      </c>
      <c r="D94" s="94" t="str">
        <f t="shared" ref="D94:D96" si="8">IF(M94=1,"*","")</f>
        <v>*</v>
      </c>
      <c r="H94" s="19"/>
      <c r="M94" s="36">
        <f t="shared" ref="M94:M96" si="9">IF((O94&amp;" "&amp;P94&amp;" "&amp;Q94)="TRUE FALSE FALSE",0,IF((O94&amp;" "&amp;P94&amp;" "&amp;Q94)="FALSE TRUE FALSE",0,IF((O94&amp;" "&amp;P94&amp;" "&amp;Q94)="FALSE FALSE TRUE",0,1)))</f>
        <v>1</v>
      </c>
      <c r="N94" s="36" t="str">
        <f t="shared" ref="N94:N96" si="10">IF((O94&amp;" "&amp;P94&amp;" "&amp;Q94)="TRUE FALSE FALSE","Yes",IF((O94&amp;" "&amp;P94&amp;" "&amp;Q94)="FALSE TRUE FALSE","No",IF((O94&amp;" "&amp;P94&amp;" "&amp;Q94)="FALSE FALSE TRUE","N/A","")))</f>
        <v/>
      </c>
      <c r="O94" s="79" t="b">
        <v>0</v>
      </c>
      <c r="P94" s="79" t="b">
        <v>0</v>
      </c>
      <c r="Q94" s="83" t="b">
        <v>0</v>
      </c>
      <c r="R94" s="36">
        <f>IF(COUNTIF(O94:Q94,"TRUE")&gt;=2,1,0)</f>
        <v>0</v>
      </c>
    </row>
    <row r="95" spans="2:21" ht="39.950000000000003" customHeight="1" x14ac:dyDescent="0.2">
      <c r="B95" s="131" t="s">
        <v>18</v>
      </c>
      <c r="C95" s="261" t="str">
        <f>IF(COUNTIF(O95:Q95,"TRUE")&gt;1,"Please select only one option","")</f>
        <v/>
      </c>
      <c r="D95" s="94" t="str">
        <f t="shared" si="8"/>
        <v>*</v>
      </c>
      <c r="H95" s="19"/>
      <c r="M95" s="36">
        <f t="shared" si="9"/>
        <v>1</v>
      </c>
      <c r="N95" s="36" t="str">
        <f t="shared" si="10"/>
        <v/>
      </c>
      <c r="O95" s="79" t="b">
        <v>0</v>
      </c>
      <c r="P95" s="79" t="b">
        <v>0</v>
      </c>
      <c r="Q95" s="83" t="b">
        <v>0</v>
      </c>
      <c r="R95" s="36">
        <f>IF(COUNTIF(O95:Q95,"TRUE")&gt;=2,1,0)</f>
        <v>0</v>
      </c>
    </row>
    <row r="96" spans="2:21" ht="39.950000000000003" customHeight="1" thickBot="1" x14ac:dyDescent="0.25">
      <c r="B96" s="254" t="s">
        <v>19</v>
      </c>
      <c r="C96" s="262" t="str">
        <f>IF(COUNTIF(O96:Q96,"TRUE")&gt;1,"Please select only one option","")</f>
        <v/>
      </c>
      <c r="D96" s="94" t="str">
        <f t="shared" si="8"/>
        <v>*</v>
      </c>
      <c r="H96" s="19"/>
      <c r="M96" s="36">
        <f t="shared" si="9"/>
        <v>1</v>
      </c>
      <c r="N96" s="36" t="str">
        <f t="shared" si="10"/>
        <v/>
      </c>
      <c r="O96" s="79" t="b">
        <v>0</v>
      </c>
      <c r="P96" s="79" t="b">
        <v>0</v>
      </c>
      <c r="Q96" s="83" t="b">
        <v>0</v>
      </c>
      <c r="R96" s="36">
        <f>IF(COUNTIF(O96:Q96,"TRUE")&gt;=2,1,0)</f>
        <v>0</v>
      </c>
    </row>
    <row r="97" spans="1:18" ht="39.950000000000003" customHeight="1" thickBot="1" x14ac:dyDescent="0.25">
      <c r="B97" s="192"/>
      <c r="C97" s="599" t="s">
        <v>13</v>
      </c>
      <c r="H97" s="19"/>
      <c r="O97" s="11"/>
      <c r="P97" s="11"/>
      <c r="Q97" s="11"/>
      <c r="R97" s="36"/>
    </row>
    <row r="98" spans="1:18" ht="39.950000000000003" customHeight="1" x14ac:dyDescent="0.2">
      <c r="B98" s="255" t="s">
        <v>15</v>
      </c>
      <c r="C98" s="251" t="str">
        <f>IF(COUNTIF(O98:Q98,"TRUE")&gt;1,"Please select only one option","")</f>
        <v/>
      </c>
      <c r="D98" s="94" t="str">
        <f t="shared" ref="D98:D101" si="11">IF(M98=1,"*","")</f>
        <v>*</v>
      </c>
      <c r="H98" s="19"/>
      <c r="M98" s="36">
        <f t="shared" ref="M98:M101" si="12">IF((O98&amp;" "&amp;P98&amp;" "&amp;Q98)="TRUE FALSE FALSE",0,IF((O98&amp;" "&amp;P98&amp;" "&amp;Q98)="FALSE TRUE FALSE",0,IF((O98&amp;" "&amp;P98&amp;" "&amp;Q98)="FALSE FALSE TRUE",0,1)))</f>
        <v>1</v>
      </c>
      <c r="N98" s="36" t="str">
        <f t="shared" ref="N98:N101" si="13">IF((O98&amp;" "&amp;P98&amp;" "&amp;Q98)="TRUE FALSE FALSE","Yes",IF((O98&amp;" "&amp;P98&amp;" "&amp;Q98)="FALSE TRUE FALSE","No",IF((O98&amp;" "&amp;P98&amp;" "&amp;Q98)="FALSE FALSE TRUE","N/A","")))</f>
        <v/>
      </c>
      <c r="O98" s="79" t="b">
        <v>0</v>
      </c>
      <c r="P98" s="79" t="b">
        <v>0</v>
      </c>
      <c r="Q98" s="83" t="b">
        <v>0</v>
      </c>
      <c r="R98" s="36">
        <f>IF(COUNTIF(O98:Q98,"TRUE")&gt;=2,1,0)</f>
        <v>0</v>
      </c>
    </row>
    <row r="99" spans="1:18" ht="39.950000000000003" customHeight="1" x14ac:dyDescent="0.2">
      <c r="B99" s="131" t="s">
        <v>17</v>
      </c>
      <c r="C99" s="258" t="str">
        <f>IF(COUNTIF(O99:Q99,"TRUE")&gt;1,"Please select only one option","")</f>
        <v/>
      </c>
      <c r="D99" s="94" t="str">
        <f t="shared" si="11"/>
        <v>*</v>
      </c>
      <c r="H99" s="19"/>
      <c r="M99" s="36">
        <f t="shared" si="12"/>
        <v>1</v>
      </c>
      <c r="N99" s="36" t="str">
        <f t="shared" si="13"/>
        <v/>
      </c>
      <c r="O99" s="79" t="b">
        <v>0</v>
      </c>
      <c r="P99" s="79" t="b">
        <v>0</v>
      </c>
      <c r="Q99" s="83" t="b">
        <v>0</v>
      </c>
      <c r="R99" s="36">
        <f>IF(COUNTIF(O99:Q99,"TRUE")&gt;=2,1,0)</f>
        <v>0</v>
      </c>
    </row>
    <row r="100" spans="1:18" ht="39.950000000000003" customHeight="1" x14ac:dyDescent="0.2">
      <c r="B100" s="131" t="s">
        <v>63</v>
      </c>
      <c r="C100" s="258" t="str">
        <f>IF(COUNTIF(O100:Q100,"TRUE")&gt;1,"Please select only one option","")</f>
        <v/>
      </c>
      <c r="D100" s="94" t="str">
        <f>IF(M100=1,"*","")</f>
        <v>*</v>
      </c>
      <c r="H100" s="19"/>
      <c r="M100" s="36">
        <f t="shared" si="12"/>
        <v>1</v>
      </c>
      <c r="N100" s="36" t="str">
        <f t="shared" si="13"/>
        <v/>
      </c>
      <c r="O100" s="79" t="b">
        <v>0</v>
      </c>
      <c r="P100" s="79" t="b">
        <v>0</v>
      </c>
      <c r="Q100" s="83" t="b">
        <v>0</v>
      </c>
      <c r="R100" s="36">
        <f>IF(COUNTIF(O100:Q100,"TRUE")&gt;=2,1,0)</f>
        <v>0</v>
      </c>
    </row>
    <row r="101" spans="1:18" ht="39.950000000000003" customHeight="1" thickBot="1" x14ac:dyDescent="0.25">
      <c r="B101" s="253" t="s">
        <v>595</v>
      </c>
      <c r="C101" s="259" t="str">
        <f>IF(COUNTIF(O101:Q101,"TRUE")&gt;1,"Please select only one option","")</f>
        <v/>
      </c>
      <c r="D101" s="94" t="str">
        <f t="shared" si="11"/>
        <v>*</v>
      </c>
      <c r="H101" s="19"/>
      <c r="M101" s="36">
        <f t="shared" si="12"/>
        <v>1</v>
      </c>
      <c r="N101" s="36" t="str">
        <f t="shared" si="13"/>
        <v/>
      </c>
      <c r="O101" s="79" t="b">
        <v>0</v>
      </c>
      <c r="P101" s="79" t="b">
        <v>0</v>
      </c>
      <c r="Q101" s="79" t="b">
        <v>0</v>
      </c>
      <c r="R101" s="36">
        <f>IF(COUNTIF(O101:Q101,"TRUE")&gt;=2,1,0)</f>
        <v>0</v>
      </c>
    </row>
    <row r="102" spans="1:18" ht="15.95" customHeight="1" x14ac:dyDescent="0.2">
      <c r="B102" s="771"/>
      <c r="C102" s="771"/>
      <c r="D102" s="13"/>
      <c r="E102" s="13"/>
      <c r="H102" s="19"/>
      <c r="Q102" s="1"/>
      <c r="R102" s="36"/>
    </row>
    <row r="103" spans="1:18" ht="15.95" customHeight="1" thickBot="1" x14ac:dyDescent="0.25">
      <c r="B103" s="282" t="s">
        <v>600</v>
      </c>
      <c r="H103" s="19"/>
      <c r="Q103" s="1"/>
      <c r="R103" s="36"/>
    </row>
    <row r="104" spans="1:18" ht="14.25" customHeight="1" x14ac:dyDescent="0.2">
      <c r="A104" s="51"/>
      <c r="B104" s="752"/>
      <c r="C104" s="753"/>
      <c r="D104" s="781" t="str">
        <f>IF(M104=1,"*","")</f>
        <v/>
      </c>
      <c r="H104" s="19"/>
      <c r="M104" s="36">
        <f>IF(N101="Yes",IF(ISTEXT(B104)=TRUE,0,1),0)</f>
        <v>0</v>
      </c>
      <c r="N104" s="1">
        <f>IF(N101="No",1,IF(N101="N/A",1,0))</f>
        <v>0</v>
      </c>
    </row>
    <row r="105" spans="1:18" ht="15" customHeight="1" x14ac:dyDescent="0.2">
      <c r="A105" s="51"/>
      <c r="B105" s="754"/>
      <c r="C105" s="755"/>
      <c r="D105" s="781"/>
      <c r="H105" s="19"/>
    </row>
    <row r="106" spans="1:18" ht="15" customHeight="1" thickBot="1" x14ac:dyDescent="0.25">
      <c r="B106" s="756"/>
      <c r="C106" s="757"/>
      <c r="D106" s="781"/>
      <c r="H106" s="19"/>
    </row>
    <row r="107" spans="1:18" ht="15.95" customHeight="1" x14ac:dyDescent="0.2">
      <c r="H107" s="19"/>
      <c r="L107" s="38" t="s">
        <v>667</v>
      </c>
      <c r="M107" s="38" t="str">
        <f>IF(SUM(M76:M106)&lt;&gt;0,"Invalid","Valid")</f>
        <v>Invalid</v>
      </c>
    </row>
    <row r="108" spans="1:18" ht="15.95" customHeight="1" thickBot="1" x14ac:dyDescent="0.25">
      <c r="B108" s="82"/>
      <c r="H108" s="19"/>
      <c r="L108" s="84"/>
      <c r="M108" s="84"/>
    </row>
    <row r="109" spans="1:18" ht="39.950000000000003" customHeight="1" thickBot="1" x14ac:dyDescent="0.25">
      <c r="B109" s="745" t="s">
        <v>709</v>
      </c>
      <c r="C109" s="746"/>
      <c r="H109" s="19"/>
    </row>
    <row r="110" spans="1:18" ht="63.95" customHeight="1" thickBot="1" x14ac:dyDescent="0.25">
      <c r="B110" s="404" t="s">
        <v>850</v>
      </c>
      <c r="C110" s="571" t="str">
        <f>IF((O110&amp;" "&amp;P110)="TRUE TRUE","Please select only one option","")</f>
        <v/>
      </c>
      <c r="D110" s="94" t="str">
        <f>IF(M110=1,"*","")</f>
        <v>*</v>
      </c>
      <c r="E110" s="51"/>
      <c r="H110" s="19"/>
      <c r="M110" s="36">
        <f>IF((O110&amp;" "&amp;P110)="TRUE FALSE","Yes",IF((O110&amp;" "&amp;P110)="FALSE TRUE","No",1))</f>
        <v>1</v>
      </c>
      <c r="N110" s="11"/>
      <c r="O110" s="79" t="b">
        <v>0</v>
      </c>
      <c r="P110" s="79" t="b">
        <v>0</v>
      </c>
    </row>
    <row r="111" spans="1:18" ht="15.95" customHeight="1" x14ac:dyDescent="0.2">
      <c r="B111" s="15"/>
      <c r="C111" s="569"/>
      <c r="H111" s="19"/>
      <c r="L111" s="38" t="s">
        <v>667</v>
      </c>
      <c r="M111" s="38" t="str">
        <f>IF(SUM(M110)&lt;&gt;0,"Invalid","Valid")</f>
        <v>Invalid</v>
      </c>
    </row>
    <row r="112" spans="1:18" ht="15.95" customHeight="1" x14ac:dyDescent="0.2">
      <c r="H112" s="19"/>
    </row>
    <row r="113" spans="2:8" ht="15.95" customHeight="1" x14ac:dyDescent="0.2">
      <c r="H113" s="19"/>
    </row>
    <row r="114" spans="2:8" ht="15.95" customHeight="1" x14ac:dyDescent="0.2">
      <c r="B114" s="551" t="str">
        <f>IF(COUNTIF($M$8:M113,"Invalid")=4,"Please Complete all Sections",IF(COUNTIF($M$8:M113,"Invalid")=0,"All Sections Completed",IF(COUNTIF($M$8:M113,"Invalid")&lt;4,"Please Ensure all sections are completed before progressing to the next section")))</f>
        <v>Please Complete all Sections</v>
      </c>
      <c r="C114" s="237"/>
      <c r="H114" s="19"/>
    </row>
    <row r="115" spans="2:8" ht="15.95" customHeight="1" x14ac:dyDescent="0.2">
      <c r="H115" s="19"/>
    </row>
    <row r="116" spans="2:8" ht="15.95" customHeight="1" x14ac:dyDescent="0.2"/>
    <row r="117" spans="2:8" ht="15.95" customHeight="1" x14ac:dyDescent="0.2"/>
  </sheetData>
  <sheetProtection algorithmName="SHA-512" hashValue="4CgCluNnN0wBAbFDeeN7DJ0Kx/hNgSip4yBnwBeMPf+n6CyrNct52CU/79iLXNgCNNYqGZuP9ggY464rqaAW8g==" saltValue="noGCICQJ+drkzs3bPLSwBg==" spinCount="100000" sheet="1" objects="1" scenarios="1" selectLockedCells="1"/>
  <mergeCells count="16">
    <mergeCell ref="D13:D15"/>
    <mergeCell ref="B73:E73"/>
    <mergeCell ref="B36:D36"/>
    <mergeCell ref="B109:C109"/>
    <mergeCell ref="F82:F84"/>
    <mergeCell ref="B13:C15"/>
    <mergeCell ref="B104:C106"/>
    <mergeCell ref="B64:E64"/>
    <mergeCell ref="B74:E74"/>
    <mergeCell ref="B80:E80"/>
    <mergeCell ref="B82:E84"/>
    <mergeCell ref="B102:C102"/>
    <mergeCell ref="B50:E50"/>
    <mergeCell ref="B49:E49"/>
    <mergeCell ref="B27:B31"/>
    <mergeCell ref="D104:D106"/>
  </mergeCells>
  <conditionalFormatting sqref="E11">
    <cfRule type="expression" dxfId="111" priority="211">
      <formula>#REF!="Other (Please state below)"</formula>
    </cfRule>
  </conditionalFormatting>
  <conditionalFormatting sqref="B70">
    <cfRule type="expression" dxfId="110" priority="297">
      <formula>#REF!="Please select only one option"</formula>
    </cfRule>
  </conditionalFormatting>
  <conditionalFormatting sqref="D35 D67">
    <cfRule type="expression" dxfId="109" priority="856">
      <formula>#REF!=1</formula>
    </cfRule>
  </conditionalFormatting>
  <conditionalFormatting sqref="B87">
    <cfRule type="expression" dxfId="108" priority="857">
      <formula>#REF!="Please select only one option"</formula>
    </cfRule>
  </conditionalFormatting>
  <conditionalFormatting sqref="B88">
    <cfRule type="expression" dxfId="107" priority="858">
      <formula>#REF!="Please select only one option"</formula>
    </cfRule>
  </conditionalFormatting>
  <conditionalFormatting sqref="B89">
    <cfRule type="expression" dxfId="106" priority="859">
      <formula>#REF!="Please select only one option"</formula>
    </cfRule>
  </conditionalFormatting>
  <conditionalFormatting sqref="B90">
    <cfRule type="expression" dxfId="105" priority="860">
      <formula>#REF!="Please select only one option"</formula>
    </cfRule>
  </conditionalFormatting>
  <conditionalFormatting sqref="B81">
    <cfRule type="expression" dxfId="104" priority="861">
      <formula>M82=1</formula>
    </cfRule>
  </conditionalFormatting>
  <conditionalFormatting sqref="B93">
    <cfRule type="expression" dxfId="103" priority="872">
      <formula>#REF!="Please select only one option"</formula>
    </cfRule>
  </conditionalFormatting>
  <conditionalFormatting sqref="B94">
    <cfRule type="expression" dxfId="102" priority="873">
      <formula>#REF!="Please select only one option"</formula>
    </cfRule>
  </conditionalFormatting>
  <conditionalFormatting sqref="B95">
    <cfRule type="expression" dxfId="101" priority="874">
      <formula>#REF!="Please select only one option"</formula>
    </cfRule>
  </conditionalFormatting>
  <conditionalFormatting sqref="B96">
    <cfRule type="expression" dxfId="100" priority="875">
      <formula>#REF!="Please select only one option"</formula>
    </cfRule>
  </conditionalFormatting>
  <conditionalFormatting sqref="B98">
    <cfRule type="expression" dxfId="99" priority="876">
      <formula>#REF!="Please select only one option"</formula>
    </cfRule>
  </conditionalFormatting>
  <conditionalFormatting sqref="B99">
    <cfRule type="expression" dxfId="98" priority="877">
      <formula>#REF!="Please select only one option"</formula>
    </cfRule>
  </conditionalFormatting>
  <conditionalFormatting sqref="B100">
    <cfRule type="expression" dxfId="97" priority="878">
      <formula>#REF!="Please select only one option"</formula>
    </cfRule>
  </conditionalFormatting>
  <conditionalFormatting sqref="B101">
    <cfRule type="expression" dxfId="96" priority="879">
      <formula>#REF!="Please select only one option"</formula>
    </cfRule>
  </conditionalFormatting>
  <conditionalFormatting sqref="B103">
    <cfRule type="expression" dxfId="95" priority="880">
      <formula>#REF!=1</formula>
    </cfRule>
  </conditionalFormatting>
  <conditionalFormatting sqref="B76">
    <cfRule type="expression" dxfId="94" priority="881">
      <formula>IF(COUNTIF(#REF!,"Please select only one option")&lt;&gt;0,1,0)</formula>
    </cfRule>
  </conditionalFormatting>
  <conditionalFormatting sqref="B9">
    <cfRule type="expression" dxfId="93" priority="883">
      <formula>#REF!="Please select only one option"</formula>
    </cfRule>
  </conditionalFormatting>
  <conditionalFormatting sqref="B12">
    <cfRule type="expression" dxfId="92" priority="885">
      <formula>#REF!=1</formula>
    </cfRule>
  </conditionalFormatting>
  <conditionalFormatting sqref="D37">
    <cfRule type="expression" dxfId="91" priority="63">
      <formula>$N$37=1</formula>
    </cfRule>
  </conditionalFormatting>
  <conditionalFormatting sqref="D38">
    <cfRule type="expression" dxfId="90" priority="62">
      <formula>$N$38</formula>
    </cfRule>
  </conditionalFormatting>
  <conditionalFormatting sqref="D39">
    <cfRule type="expression" dxfId="89" priority="61">
      <formula>$N$39=1</formula>
    </cfRule>
  </conditionalFormatting>
  <conditionalFormatting sqref="D40">
    <cfRule type="expression" dxfId="88" priority="60">
      <formula>$N$40=1</formula>
    </cfRule>
  </conditionalFormatting>
  <conditionalFormatting sqref="D52">
    <cfRule type="expression" dxfId="87" priority="59">
      <formula>$N$52="No"</formula>
    </cfRule>
  </conditionalFormatting>
  <conditionalFormatting sqref="E52">
    <cfRule type="expression" dxfId="86" priority="58">
      <formula>$N$52="Yes"</formula>
    </cfRule>
  </conditionalFormatting>
  <conditionalFormatting sqref="D53">
    <cfRule type="expression" dxfId="85" priority="53">
      <formula>$N$53="No"</formula>
    </cfRule>
  </conditionalFormatting>
  <conditionalFormatting sqref="E53">
    <cfRule type="expression" dxfId="84" priority="52">
      <formula>$N$53="Yes"</formula>
    </cfRule>
  </conditionalFormatting>
  <conditionalFormatting sqref="D54">
    <cfRule type="expression" dxfId="83" priority="51">
      <formula>$N$54="No"</formula>
    </cfRule>
  </conditionalFormatting>
  <conditionalFormatting sqref="E54">
    <cfRule type="expression" dxfId="82" priority="50">
      <formula>$N$54="Yes"</formula>
    </cfRule>
  </conditionalFormatting>
  <conditionalFormatting sqref="D55">
    <cfRule type="expression" dxfId="81" priority="49">
      <formula>$N$55="No"</formula>
    </cfRule>
  </conditionalFormatting>
  <conditionalFormatting sqref="E55">
    <cfRule type="expression" dxfId="80" priority="48">
      <formula>$N$55="Yes"</formula>
    </cfRule>
  </conditionalFormatting>
  <conditionalFormatting sqref="D56">
    <cfRule type="expression" dxfId="79" priority="47">
      <formula>$N$56="No"</formula>
    </cfRule>
  </conditionalFormatting>
  <conditionalFormatting sqref="E56">
    <cfRule type="expression" dxfId="78" priority="46">
      <formula>$N$56="Yes"</formula>
    </cfRule>
  </conditionalFormatting>
  <conditionalFormatting sqref="D57">
    <cfRule type="expression" dxfId="77" priority="45">
      <formula>$N$57="No"</formula>
    </cfRule>
  </conditionalFormatting>
  <conditionalFormatting sqref="E57">
    <cfRule type="expression" dxfId="76" priority="44">
      <formula>$N$57="Yes"</formula>
    </cfRule>
  </conditionalFormatting>
  <conditionalFormatting sqref="D58">
    <cfRule type="expression" dxfId="75" priority="43">
      <formula>$N$58="No"</formula>
    </cfRule>
  </conditionalFormatting>
  <conditionalFormatting sqref="E58">
    <cfRule type="expression" dxfId="74" priority="42">
      <formula>$N$58="Yes"</formula>
    </cfRule>
  </conditionalFormatting>
  <conditionalFormatting sqref="D59">
    <cfRule type="expression" dxfId="73" priority="41">
      <formula>$N$59="No"</formula>
    </cfRule>
  </conditionalFormatting>
  <conditionalFormatting sqref="E59">
    <cfRule type="expression" dxfId="72" priority="40">
      <formula>$N$59="Yes"</formula>
    </cfRule>
  </conditionalFormatting>
  <conditionalFormatting sqref="D60">
    <cfRule type="expression" dxfId="71" priority="39">
      <formula>$N$60="No"</formula>
    </cfRule>
  </conditionalFormatting>
  <conditionalFormatting sqref="E60">
    <cfRule type="expression" dxfId="70" priority="38">
      <formula>$N$60="Yes"</formula>
    </cfRule>
  </conditionalFormatting>
  <conditionalFormatting sqref="D61">
    <cfRule type="expression" dxfId="69" priority="37">
      <formula>$N$61="No"</formula>
    </cfRule>
  </conditionalFormatting>
  <conditionalFormatting sqref="E61">
    <cfRule type="expression" dxfId="68" priority="36">
      <formula>$N$61="Yes"</formula>
    </cfRule>
  </conditionalFormatting>
  <conditionalFormatting sqref="D62">
    <cfRule type="expression" dxfId="67" priority="35">
      <formula>$N$62="No"</formula>
    </cfRule>
  </conditionalFormatting>
  <conditionalFormatting sqref="E62">
    <cfRule type="expression" dxfId="66" priority="34">
      <formula>$N$62="Yes"</formula>
    </cfRule>
  </conditionalFormatting>
  <conditionalFormatting sqref="D63">
    <cfRule type="expression" dxfId="65" priority="33">
      <formula>$N$63="No"</formula>
    </cfRule>
  </conditionalFormatting>
  <conditionalFormatting sqref="E63">
    <cfRule type="expression" dxfId="64" priority="32">
      <formula>$N$63="Yes"</formula>
    </cfRule>
  </conditionalFormatting>
  <conditionalFormatting sqref="D63:E63">
    <cfRule type="expression" dxfId="63" priority="31">
      <formula>$N$63="N/A"</formula>
    </cfRule>
  </conditionalFormatting>
  <conditionalFormatting sqref="D68">
    <cfRule type="expression" dxfId="62" priority="29">
      <formula>$N$68="No"</formula>
    </cfRule>
  </conditionalFormatting>
  <conditionalFormatting sqref="E68">
    <cfRule type="expression" dxfId="61" priority="22">
      <formula>$N$68="Yes"</formula>
    </cfRule>
  </conditionalFormatting>
  <conditionalFormatting sqref="C77:C79">
    <cfRule type="expression" dxfId="60" priority="15">
      <formula>$R$76="N/A"</formula>
    </cfRule>
  </conditionalFormatting>
  <conditionalFormatting sqref="C77">
    <cfRule type="expression" dxfId="59" priority="14">
      <formula>$R$76="No"</formula>
    </cfRule>
  </conditionalFormatting>
  <conditionalFormatting sqref="C78">
    <cfRule type="expression" dxfId="58" priority="13">
      <formula>$R$76="Yes"</formula>
    </cfRule>
  </conditionalFormatting>
  <conditionalFormatting sqref="D77:D79">
    <cfRule type="expression" dxfId="57" priority="12">
      <formula>$R$77="N/A"</formula>
    </cfRule>
  </conditionalFormatting>
  <conditionalFormatting sqref="D77">
    <cfRule type="expression" dxfId="56" priority="11">
      <formula>$R$77="No"</formula>
    </cfRule>
  </conditionalFormatting>
  <conditionalFormatting sqref="D78">
    <cfRule type="expression" dxfId="55" priority="10">
      <formula>$R$77="Yes"</formula>
    </cfRule>
  </conditionalFormatting>
  <conditionalFormatting sqref="E77:E79">
    <cfRule type="expression" dxfId="54" priority="9">
      <formula>$R$78="N/A"</formula>
    </cfRule>
  </conditionalFormatting>
  <conditionalFormatting sqref="E77">
    <cfRule type="expression" dxfId="53" priority="8">
      <formula>$R$78="No"</formula>
    </cfRule>
  </conditionalFormatting>
  <conditionalFormatting sqref="E78">
    <cfRule type="expression" dxfId="52" priority="7">
      <formula>$R$78="Yes"</formula>
    </cfRule>
  </conditionalFormatting>
  <conditionalFormatting sqref="B20:C24">
    <cfRule type="expression" dxfId="51" priority="6">
      <formula>$Q$9="Yes"</formula>
    </cfRule>
  </conditionalFormatting>
  <conditionalFormatting sqref="B104:C106">
    <cfRule type="expression" dxfId="50" priority="5">
      <formula>$N$104=1</formula>
    </cfRule>
  </conditionalFormatting>
  <conditionalFormatting sqref="D45">
    <cfRule type="expression" dxfId="49" priority="4">
      <formula>$Q$45="Yes"</formula>
    </cfRule>
  </conditionalFormatting>
  <conditionalFormatting sqref="B114">
    <cfRule type="expression" dxfId="48" priority="3">
      <formula>$B$114="All Sections Completed"</formula>
    </cfRule>
  </conditionalFormatting>
  <conditionalFormatting sqref="D69">
    <cfRule type="expression" dxfId="47" priority="2">
      <formula>$N$69="No"</formula>
    </cfRule>
  </conditionalFormatting>
  <conditionalFormatting sqref="E69">
    <cfRule type="expression" dxfId="46" priority="1">
      <formula>$N$69="Yes"</formula>
    </cfRule>
  </conditionalFormatting>
  <dataValidations count="12">
    <dataValidation type="date" allowBlank="1" showInputMessage="1" showErrorMessage="1" errorTitle="Training Dates" error="Please only enter dates in the dd/mm/yyyy format" sqref="C78:E78">
      <formula1>TODAY()-365</formula1>
      <formula2>TODAY()+1095</formula2>
    </dataValidation>
    <dataValidation type="list" allowBlank="1" showInputMessage="1" showErrorMessage="1" errorTitle="AML/CFT Training" error="Please only select values from the drop down menu provided" sqref="C79:E79">
      <formula1>Frequency1</formula1>
    </dataValidation>
    <dataValidation type="date" allowBlank="1" showInputMessage="1" showErrorMessage="1" sqref="E70:E71">
      <formula1>43466</formula1>
      <formula2>73050</formula2>
    </dataValidation>
    <dataValidation type="list" allowBlank="1" showInputMessage="1" showErrorMessage="1" errorTitle="Inherent Risk" error="Please only select values from the drop down menu provided" sqref="D27:D31">
      <formula1>Risk</formula1>
    </dataValidation>
    <dataValidation allowBlank="1" showInputMessage="1" showErrorMessage="1" errorTitle="Risk Assessment" error="Please only select values from the drop down menu provided" sqref="C11"/>
    <dataValidation type="date" allowBlank="1" showInputMessage="1" showErrorMessage="1" errorTitle="Training Date" error="Only dates in the future will be accepted._x000a_Please only enter dates in the dd/mm/yyyy format" sqref="D88">
      <formula1>TODAY()+1</formula1>
      <formula2>73050</formula2>
    </dataValidation>
    <dataValidation type="date" allowBlank="1" showInputMessage="1" showErrorMessage="1" sqref="C20:C24">
      <formula1>TODAY()+1</formula1>
      <formula2>73050</formula2>
    </dataValidation>
    <dataValidation type="date" allowBlank="1" showInputMessage="1" showErrorMessage="1" errorTitle="Training Dates" error="Please only enter dates in the dd/mm/yyyy format" sqref="C77:E77">
      <formula1>TODAY()-1095</formula1>
      <formula2>TODAY()-1</formula2>
    </dataValidation>
    <dataValidation type="date" allowBlank="1" showInputMessage="1" showErrorMessage="1" sqref="D45">
      <formula1>TODAY()-7</formula1>
      <formula2>TODAY()+1200</formula2>
    </dataValidation>
    <dataValidation type="date" allowBlank="1" showInputMessage="1" showErrorMessage="1" errorTitle="Policies &amp; Procedures" error="Please only enter dates in the dd/mm/yyyy format" sqref="E52:E63">
      <formula1>TODAY()+1</formula1>
      <formula2>TODAY()+12500</formula2>
    </dataValidation>
    <dataValidation type="textLength" operator="lessThan" allowBlank="1" showInputMessage="1" showErrorMessage="1" errorTitle="Cell Values" error="Please do not enter any data into this cell_x000a_" sqref="C111">
      <formula1>1</formula1>
    </dataValidation>
    <dataValidation type="date" allowBlank="1" showInputMessage="1" showErrorMessage="1" errorTitle="Date" error="Please only enter dates in the dd/mm/yyyy format" sqref="E68:E69">
      <formula1>TODAY()+1</formula1>
      <formula2>TODAY()+12500</formula2>
    </dataValidation>
  </dataValidation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7527" r:id="rId4" name="Check Box 119">
              <controlPr defaultSize="0" autoFill="0" autoLine="0" autoPict="0">
                <anchor moveWithCells="1">
                  <from>
                    <xdr:col>2</xdr:col>
                    <xdr:colOff>723900</xdr:colOff>
                    <xdr:row>51</xdr:row>
                    <xdr:rowOff>9525</xdr:rowOff>
                  </from>
                  <to>
                    <xdr:col>2</xdr:col>
                    <xdr:colOff>1352550</xdr:colOff>
                    <xdr:row>51</xdr:row>
                    <xdr:rowOff>523875</xdr:rowOff>
                  </to>
                </anchor>
              </controlPr>
            </control>
          </mc:Choice>
        </mc:AlternateContent>
        <mc:AlternateContent xmlns:mc="http://schemas.openxmlformats.org/markup-compatibility/2006">
          <mc:Choice Requires="x14">
            <control shapeId="17528" r:id="rId5" name="Check Box 120">
              <controlPr defaultSize="0" autoFill="0" autoLine="0" autoPict="0">
                <anchor moveWithCells="1">
                  <from>
                    <xdr:col>2</xdr:col>
                    <xdr:colOff>1466850</xdr:colOff>
                    <xdr:row>51</xdr:row>
                    <xdr:rowOff>9525</xdr:rowOff>
                  </from>
                  <to>
                    <xdr:col>2</xdr:col>
                    <xdr:colOff>2095500</xdr:colOff>
                    <xdr:row>51</xdr:row>
                    <xdr:rowOff>523875</xdr:rowOff>
                  </to>
                </anchor>
              </controlPr>
            </control>
          </mc:Choice>
        </mc:AlternateContent>
        <mc:AlternateContent xmlns:mc="http://schemas.openxmlformats.org/markup-compatibility/2006">
          <mc:Choice Requires="x14">
            <control shapeId="17594" r:id="rId6" name="Check Box 186">
              <controlPr defaultSize="0" autoFill="0" autoLine="0" autoPict="0">
                <anchor moveWithCells="1">
                  <from>
                    <xdr:col>2</xdr:col>
                    <xdr:colOff>666750</xdr:colOff>
                    <xdr:row>62</xdr:row>
                    <xdr:rowOff>0</xdr:rowOff>
                  </from>
                  <to>
                    <xdr:col>2</xdr:col>
                    <xdr:colOff>1104900</xdr:colOff>
                    <xdr:row>63</xdr:row>
                    <xdr:rowOff>0</xdr:rowOff>
                  </to>
                </anchor>
              </controlPr>
            </control>
          </mc:Choice>
        </mc:AlternateContent>
        <mc:AlternateContent xmlns:mc="http://schemas.openxmlformats.org/markup-compatibility/2006">
          <mc:Choice Requires="x14">
            <control shapeId="17595" r:id="rId7" name="Check Box 187">
              <controlPr defaultSize="0" autoFill="0" autoLine="0" autoPict="0">
                <anchor moveWithCells="1">
                  <from>
                    <xdr:col>2</xdr:col>
                    <xdr:colOff>1143000</xdr:colOff>
                    <xdr:row>62</xdr:row>
                    <xdr:rowOff>9525</xdr:rowOff>
                  </from>
                  <to>
                    <xdr:col>2</xdr:col>
                    <xdr:colOff>1581150</xdr:colOff>
                    <xdr:row>62</xdr:row>
                    <xdr:rowOff>523875</xdr:rowOff>
                  </to>
                </anchor>
              </controlPr>
            </control>
          </mc:Choice>
        </mc:AlternateContent>
        <mc:AlternateContent xmlns:mc="http://schemas.openxmlformats.org/markup-compatibility/2006">
          <mc:Choice Requires="x14">
            <control shapeId="17596" r:id="rId8" name="Check Box 188">
              <controlPr defaultSize="0" autoFill="0" autoLine="0" autoPict="0">
                <anchor moveWithCells="1">
                  <from>
                    <xdr:col>2</xdr:col>
                    <xdr:colOff>1600200</xdr:colOff>
                    <xdr:row>62</xdr:row>
                    <xdr:rowOff>9525</xdr:rowOff>
                  </from>
                  <to>
                    <xdr:col>2</xdr:col>
                    <xdr:colOff>2057400</xdr:colOff>
                    <xdr:row>63</xdr:row>
                    <xdr:rowOff>0</xdr:rowOff>
                  </to>
                </anchor>
              </controlPr>
            </control>
          </mc:Choice>
        </mc:AlternateContent>
        <mc:AlternateContent xmlns:mc="http://schemas.openxmlformats.org/markup-compatibility/2006">
          <mc:Choice Requires="x14">
            <control shapeId="17660" r:id="rId9" name="Check Box 252">
              <controlPr defaultSize="0" autoFill="0" autoLine="0" autoPict="0">
                <anchor moveWithCells="1">
                  <from>
                    <xdr:col>2</xdr:col>
                    <xdr:colOff>723900</xdr:colOff>
                    <xdr:row>52</xdr:row>
                    <xdr:rowOff>9525</xdr:rowOff>
                  </from>
                  <to>
                    <xdr:col>2</xdr:col>
                    <xdr:colOff>1352550</xdr:colOff>
                    <xdr:row>52</xdr:row>
                    <xdr:rowOff>523875</xdr:rowOff>
                  </to>
                </anchor>
              </controlPr>
            </control>
          </mc:Choice>
        </mc:AlternateContent>
        <mc:AlternateContent xmlns:mc="http://schemas.openxmlformats.org/markup-compatibility/2006">
          <mc:Choice Requires="x14">
            <control shapeId="17661" r:id="rId10" name="Check Box 253">
              <controlPr defaultSize="0" autoFill="0" autoLine="0" autoPict="0">
                <anchor moveWithCells="1">
                  <from>
                    <xdr:col>2</xdr:col>
                    <xdr:colOff>1466850</xdr:colOff>
                    <xdr:row>52</xdr:row>
                    <xdr:rowOff>9525</xdr:rowOff>
                  </from>
                  <to>
                    <xdr:col>2</xdr:col>
                    <xdr:colOff>2095500</xdr:colOff>
                    <xdr:row>52</xdr:row>
                    <xdr:rowOff>523875</xdr:rowOff>
                  </to>
                </anchor>
              </controlPr>
            </control>
          </mc:Choice>
        </mc:AlternateContent>
        <mc:AlternateContent xmlns:mc="http://schemas.openxmlformats.org/markup-compatibility/2006">
          <mc:Choice Requires="x14">
            <control shapeId="17662" r:id="rId11" name="Check Box 254">
              <controlPr defaultSize="0" autoFill="0" autoLine="0" autoPict="0">
                <anchor moveWithCells="1">
                  <from>
                    <xdr:col>2</xdr:col>
                    <xdr:colOff>723900</xdr:colOff>
                    <xdr:row>53</xdr:row>
                    <xdr:rowOff>9525</xdr:rowOff>
                  </from>
                  <to>
                    <xdr:col>2</xdr:col>
                    <xdr:colOff>1352550</xdr:colOff>
                    <xdr:row>53</xdr:row>
                    <xdr:rowOff>523875</xdr:rowOff>
                  </to>
                </anchor>
              </controlPr>
            </control>
          </mc:Choice>
        </mc:AlternateContent>
        <mc:AlternateContent xmlns:mc="http://schemas.openxmlformats.org/markup-compatibility/2006">
          <mc:Choice Requires="x14">
            <control shapeId="17663" r:id="rId12" name="Check Box 255">
              <controlPr defaultSize="0" autoFill="0" autoLine="0" autoPict="0">
                <anchor moveWithCells="1">
                  <from>
                    <xdr:col>2</xdr:col>
                    <xdr:colOff>1466850</xdr:colOff>
                    <xdr:row>53</xdr:row>
                    <xdr:rowOff>9525</xdr:rowOff>
                  </from>
                  <to>
                    <xdr:col>2</xdr:col>
                    <xdr:colOff>2095500</xdr:colOff>
                    <xdr:row>53</xdr:row>
                    <xdr:rowOff>523875</xdr:rowOff>
                  </to>
                </anchor>
              </controlPr>
            </control>
          </mc:Choice>
        </mc:AlternateContent>
        <mc:AlternateContent xmlns:mc="http://schemas.openxmlformats.org/markup-compatibility/2006">
          <mc:Choice Requires="x14">
            <control shapeId="17664" r:id="rId13" name="Check Box 256">
              <controlPr defaultSize="0" autoFill="0" autoLine="0" autoPict="0">
                <anchor moveWithCells="1">
                  <from>
                    <xdr:col>2</xdr:col>
                    <xdr:colOff>723900</xdr:colOff>
                    <xdr:row>54</xdr:row>
                    <xdr:rowOff>9525</xdr:rowOff>
                  </from>
                  <to>
                    <xdr:col>2</xdr:col>
                    <xdr:colOff>1352550</xdr:colOff>
                    <xdr:row>54</xdr:row>
                    <xdr:rowOff>523875</xdr:rowOff>
                  </to>
                </anchor>
              </controlPr>
            </control>
          </mc:Choice>
        </mc:AlternateContent>
        <mc:AlternateContent xmlns:mc="http://schemas.openxmlformats.org/markup-compatibility/2006">
          <mc:Choice Requires="x14">
            <control shapeId="17665" r:id="rId14" name="Check Box 257">
              <controlPr defaultSize="0" autoFill="0" autoLine="0" autoPict="0">
                <anchor moveWithCells="1">
                  <from>
                    <xdr:col>2</xdr:col>
                    <xdr:colOff>1466850</xdr:colOff>
                    <xdr:row>54</xdr:row>
                    <xdr:rowOff>9525</xdr:rowOff>
                  </from>
                  <to>
                    <xdr:col>2</xdr:col>
                    <xdr:colOff>2095500</xdr:colOff>
                    <xdr:row>54</xdr:row>
                    <xdr:rowOff>523875</xdr:rowOff>
                  </to>
                </anchor>
              </controlPr>
            </control>
          </mc:Choice>
        </mc:AlternateContent>
        <mc:AlternateContent xmlns:mc="http://schemas.openxmlformats.org/markup-compatibility/2006">
          <mc:Choice Requires="x14">
            <control shapeId="17666" r:id="rId15" name="Check Box 258">
              <controlPr defaultSize="0" autoFill="0" autoLine="0" autoPict="0">
                <anchor moveWithCells="1">
                  <from>
                    <xdr:col>2</xdr:col>
                    <xdr:colOff>723900</xdr:colOff>
                    <xdr:row>55</xdr:row>
                    <xdr:rowOff>9525</xdr:rowOff>
                  </from>
                  <to>
                    <xdr:col>2</xdr:col>
                    <xdr:colOff>1352550</xdr:colOff>
                    <xdr:row>55</xdr:row>
                    <xdr:rowOff>523875</xdr:rowOff>
                  </to>
                </anchor>
              </controlPr>
            </control>
          </mc:Choice>
        </mc:AlternateContent>
        <mc:AlternateContent xmlns:mc="http://schemas.openxmlformats.org/markup-compatibility/2006">
          <mc:Choice Requires="x14">
            <control shapeId="17667" r:id="rId16" name="Check Box 259">
              <controlPr defaultSize="0" autoFill="0" autoLine="0" autoPict="0">
                <anchor moveWithCells="1">
                  <from>
                    <xdr:col>2</xdr:col>
                    <xdr:colOff>1466850</xdr:colOff>
                    <xdr:row>55</xdr:row>
                    <xdr:rowOff>9525</xdr:rowOff>
                  </from>
                  <to>
                    <xdr:col>2</xdr:col>
                    <xdr:colOff>2095500</xdr:colOff>
                    <xdr:row>55</xdr:row>
                    <xdr:rowOff>523875</xdr:rowOff>
                  </to>
                </anchor>
              </controlPr>
            </control>
          </mc:Choice>
        </mc:AlternateContent>
        <mc:AlternateContent xmlns:mc="http://schemas.openxmlformats.org/markup-compatibility/2006">
          <mc:Choice Requires="x14">
            <control shapeId="17668" r:id="rId17" name="Check Box 260">
              <controlPr defaultSize="0" autoFill="0" autoLine="0" autoPict="0">
                <anchor moveWithCells="1">
                  <from>
                    <xdr:col>2</xdr:col>
                    <xdr:colOff>723900</xdr:colOff>
                    <xdr:row>56</xdr:row>
                    <xdr:rowOff>9525</xdr:rowOff>
                  </from>
                  <to>
                    <xdr:col>2</xdr:col>
                    <xdr:colOff>1352550</xdr:colOff>
                    <xdr:row>56</xdr:row>
                    <xdr:rowOff>523875</xdr:rowOff>
                  </to>
                </anchor>
              </controlPr>
            </control>
          </mc:Choice>
        </mc:AlternateContent>
        <mc:AlternateContent xmlns:mc="http://schemas.openxmlformats.org/markup-compatibility/2006">
          <mc:Choice Requires="x14">
            <control shapeId="17669" r:id="rId18" name="Check Box 261">
              <controlPr defaultSize="0" autoFill="0" autoLine="0" autoPict="0">
                <anchor moveWithCells="1">
                  <from>
                    <xdr:col>2</xdr:col>
                    <xdr:colOff>1466850</xdr:colOff>
                    <xdr:row>56</xdr:row>
                    <xdr:rowOff>9525</xdr:rowOff>
                  </from>
                  <to>
                    <xdr:col>2</xdr:col>
                    <xdr:colOff>2095500</xdr:colOff>
                    <xdr:row>56</xdr:row>
                    <xdr:rowOff>523875</xdr:rowOff>
                  </to>
                </anchor>
              </controlPr>
            </control>
          </mc:Choice>
        </mc:AlternateContent>
        <mc:AlternateContent xmlns:mc="http://schemas.openxmlformats.org/markup-compatibility/2006">
          <mc:Choice Requires="x14">
            <control shapeId="17670" r:id="rId19" name="Check Box 262">
              <controlPr defaultSize="0" autoFill="0" autoLine="0" autoPict="0">
                <anchor moveWithCells="1">
                  <from>
                    <xdr:col>2</xdr:col>
                    <xdr:colOff>723900</xdr:colOff>
                    <xdr:row>57</xdr:row>
                    <xdr:rowOff>9525</xdr:rowOff>
                  </from>
                  <to>
                    <xdr:col>2</xdr:col>
                    <xdr:colOff>1352550</xdr:colOff>
                    <xdr:row>57</xdr:row>
                    <xdr:rowOff>523875</xdr:rowOff>
                  </to>
                </anchor>
              </controlPr>
            </control>
          </mc:Choice>
        </mc:AlternateContent>
        <mc:AlternateContent xmlns:mc="http://schemas.openxmlformats.org/markup-compatibility/2006">
          <mc:Choice Requires="x14">
            <control shapeId="17671" r:id="rId20" name="Check Box 263">
              <controlPr defaultSize="0" autoFill="0" autoLine="0" autoPict="0">
                <anchor moveWithCells="1">
                  <from>
                    <xdr:col>2</xdr:col>
                    <xdr:colOff>1466850</xdr:colOff>
                    <xdr:row>57</xdr:row>
                    <xdr:rowOff>9525</xdr:rowOff>
                  </from>
                  <to>
                    <xdr:col>2</xdr:col>
                    <xdr:colOff>2095500</xdr:colOff>
                    <xdr:row>57</xdr:row>
                    <xdr:rowOff>523875</xdr:rowOff>
                  </to>
                </anchor>
              </controlPr>
            </control>
          </mc:Choice>
        </mc:AlternateContent>
        <mc:AlternateContent xmlns:mc="http://schemas.openxmlformats.org/markup-compatibility/2006">
          <mc:Choice Requires="x14">
            <control shapeId="17672" r:id="rId21" name="Check Box 264">
              <controlPr defaultSize="0" autoFill="0" autoLine="0" autoPict="0">
                <anchor moveWithCells="1">
                  <from>
                    <xdr:col>2</xdr:col>
                    <xdr:colOff>723900</xdr:colOff>
                    <xdr:row>58</xdr:row>
                    <xdr:rowOff>9525</xdr:rowOff>
                  </from>
                  <to>
                    <xdr:col>2</xdr:col>
                    <xdr:colOff>1352550</xdr:colOff>
                    <xdr:row>58</xdr:row>
                    <xdr:rowOff>523875</xdr:rowOff>
                  </to>
                </anchor>
              </controlPr>
            </control>
          </mc:Choice>
        </mc:AlternateContent>
        <mc:AlternateContent xmlns:mc="http://schemas.openxmlformats.org/markup-compatibility/2006">
          <mc:Choice Requires="x14">
            <control shapeId="17673" r:id="rId22" name="Check Box 265">
              <controlPr defaultSize="0" autoFill="0" autoLine="0" autoPict="0">
                <anchor moveWithCells="1">
                  <from>
                    <xdr:col>2</xdr:col>
                    <xdr:colOff>1466850</xdr:colOff>
                    <xdr:row>58</xdr:row>
                    <xdr:rowOff>9525</xdr:rowOff>
                  </from>
                  <to>
                    <xdr:col>2</xdr:col>
                    <xdr:colOff>2095500</xdr:colOff>
                    <xdr:row>58</xdr:row>
                    <xdr:rowOff>523875</xdr:rowOff>
                  </to>
                </anchor>
              </controlPr>
            </control>
          </mc:Choice>
        </mc:AlternateContent>
        <mc:AlternateContent xmlns:mc="http://schemas.openxmlformats.org/markup-compatibility/2006">
          <mc:Choice Requires="x14">
            <control shapeId="17674" r:id="rId23" name="Check Box 266">
              <controlPr defaultSize="0" autoFill="0" autoLine="0" autoPict="0">
                <anchor moveWithCells="1">
                  <from>
                    <xdr:col>2</xdr:col>
                    <xdr:colOff>723900</xdr:colOff>
                    <xdr:row>59</xdr:row>
                    <xdr:rowOff>9525</xdr:rowOff>
                  </from>
                  <to>
                    <xdr:col>2</xdr:col>
                    <xdr:colOff>1352550</xdr:colOff>
                    <xdr:row>59</xdr:row>
                    <xdr:rowOff>523875</xdr:rowOff>
                  </to>
                </anchor>
              </controlPr>
            </control>
          </mc:Choice>
        </mc:AlternateContent>
        <mc:AlternateContent xmlns:mc="http://schemas.openxmlformats.org/markup-compatibility/2006">
          <mc:Choice Requires="x14">
            <control shapeId="17675" r:id="rId24" name="Check Box 267">
              <controlPr defaultSize="0" autoFill="0" autoLine="0" autoPict="0">
                <anchor moveWithCells="1">
                  <from>
                    <xdr:col>2</xdr:col>
                    <xdr:colOff>1466850</xdr:colOff>
                    <xdr:row>59</xdr:row>
                    <xdr:rowOff>9525</xdr:rowOff>
                  </from>
                  <to>
                    <xdr:col>2</xdr:col>
                    <xdr:colOff>2095500</xdr:colOff>
                    <xdr:row>59</xdr:row>
                    <xdr:rowOff>523875</xdr:rowOff>
                  </to>
                </anchor>
              </controlPr>
            </control>
          </mc:Choice>
        </mc:AlternateContent>
        <mc:AlternateContent xmlns:mc="http://schemas.openxmlformats.org/markup-compatibility/2006">
          <mc:Choice Requires="x14">
            <control shapeId="17676" r:id="rId25" name="Check Box 268">
              <controlPr defaultSize="0" autoFill="0" autoLine="0" autoPict="0">
                <anchor moveWithCells="1">
                  <from>
                    <xdr:col>2</xdr:col>
                    <xdr:colOff>723900</xdr:colOff>
                    <xdr:row>60</xdr:row>
                    <xdr:rowOff>9525</xdr:rowOff>
                  </from>
                  <to>
                    <xdr:col>2</xdr:col>
                    <xdr:colOff>1352550</xdr:colOff>
                    <xdr:row>60</xdr:row>
                    <xdr:rowOff>523875</xdr:rowOff>
                  </to>
                </anchor>
              </controlPr>
            </control>
          </mc:Choice>
        </mc:AlternateContent>
        <mc:AlternateContent xmlns:mc="http://schemas.openxmlformats.org/markup-compatibility/2006">
          <mc:Choice Requires="x14">
            <control shapeId="17677" r:id="rId26" name="Check Box 269">
              <controlPr defaultSize="0" autoFill="0" autoLine="0" autoPict="0">
                <anchor moveWithCells="1">
                  <from>
                    <xdr:col>2</xdr:col>
                    <xdr:colOff>1466850</xdr:colOff>
                    <xdr:row>60</xdr:row>
                    <xdr:rowOff>9525</xdr:rowOff>
                  </from>
                  <to>
                    <xdr:col>2</xdr:col>
                    <xdr:colOff>2095500</xdr:colOff>
                    <xdr:row>60</xdr:row>
                    <xdr:rowOff>523875</xdr:rowOff>
                  </to>
                </anchor>
              </controlPr>
            </control>
          </mc:Choice>
        </mc:AlternateContent>
        <mc:AlternateContent xmlns:mc="http://schemas.openxmlformats.org/markup-compatibility/2006">
          <mc:Choice Requires="x14">
            <control shapeId="17678" r:id="rId27" name="Check Box 270">
              <controlPr defaultSize="0" autoFill="0" autoLine="0" autoPict="0">
                <anchor moveWithCells="1">
                  <from>
                    <xdr:col>2</xdr:col>
                    <xdr:colOff>723900</xdr:colOff>
                    <xdr:row>61</xdr:row>
                    <xdr:rowOff>9525</xdr:rowOff>
                  </from>
                  <to>
                    <xdr:col>2</xdr:col>
                    <xdr:colOff>1352550</xdr:colOff>
                    <xdr:row>61</xdr:row>
                    <xdr:rowOff>600075</xdr:rowOff>
                  </to>
                </anchor>
              </controlPr>
            </control>
          </mc:Choice>
        </mc:AlternateContent>
        <mc:AlternateContent xmlns:mc="http://schemas.openxmlformats.org/markup-compatibility/2006">
          <mc:Choice Requires="x14">
            <control shapeId="17679" r:id="rId28" name="Check Box 271">
              <controlPr defaultSize="0" autoFill="0" autoLine="0" autoPict="0">
                <anchor moveWithCells="1">
                  <from>
                    <xdr:col>2</xdr:col>
                    <xdr:colOff>1466850</xdr:colOff>
                    <xdr:row>61</xdr:row>
                    <xdr:rowOff>9525</xdr:rowOff>
                  </from>
                  <to>
                    <xdr:col>2</xdr:col>
                    <xdr:colOff>2095500</xdr:colOff>
                    <xdr:row>61</xdr:row>
                    <xdr:rowOff>600075</xdr:rowOff>
                  </to>
                </anchor>
              </controlPr>
            </control>
          </mc:Choice>
        </mc:AlternateContent>
        <mc:AlternateContent xmlns:mc="http://schemas.openxmlformats.org/markup-compatibility/2006">
          <mc:Choice Requires="x14">
            <control shapeId="17680" r:id="rId29" name="Check Box 272">
              <controlPr defaultSize="0" autoFill="0" autoLine="0" autoPict="0">
                <anchor moveWithCells="1">
                  <from>
                    <xdr:col>2</xdr:col>
                    <xdr:colOff>723900</xdr:colOff>
                    <xdr:row>44</xdr:row>
                    <xdr:rowOff>9525</xdr:rowOff>
                  </from>
                  <to>
                    <xdr:col>2</xdr:col>
                    <xdr:colOff>1352550</xdr:colOff>
                    <xdr:row>45</xdr:row>
                    <xdr:rowOff>0</xdr:rowOff>
                  </to>
                </anchor>
              </controlPr>
            </control>
          </mc:Choice>
        </mc:AlternateContent>
        <mc:AlternateContent xmlns:mc="http://schemas.openxmlformats.org/markup-compatibility/2006">
          <mc:Choice Requires="x14">
            <control shapeId="17681" r:id="rId30" name="Check Box 273">
              <controlPr defaultSize="0" autoFill="0" autoLine="0" autoPict="0">
                <anchor moveWithCells="1">
                  <from>
                    <xdr:col>2</xdr:col>
                    <xdr:colOff>1466850</xdr:colOff>
                    <xdr:row>44</xdr:row>
                    <xdr:rowOff>9525</xdr:rowOff>
                  </from>
                  <to>
                    <xdr:col>2</xdr:col>
                    <xdr:colOff>2095500</xdr:colOff>
                    <xdr:row>45</xdr:row>
                    <xdr:rowOff>0</xdr:rowOff>
                  </to>
                </anchor>
              </controlPr>
            </control>
          </mc:Choice>
        </mc:AlternateContent>
        <mc:AlternateContent xmlns:mc="http://schemas.openxmlformats.org/markup-compatibility/2006">
          <mc:Choice Requires="x14">
            <control shapeId="17682" r:id="rId31" name="Check Box 274">
              <controlPr defaultSize="0" autoFill="0" autoLine="0" autoPict="0">
                <anchor moveWithCells="1">
                  <from>
                    <xdr:col>2</xdr:col>
                    <xdr:colOff>723900</xdr:colOff>
                    <xdr:row>36</xdr:row>
                    <xdr:rowOff>9525</xdr:rowOff>
                  </from>
                  <to>
                    <xdr:col>2</xdr:col>
                    <xdr:colOff>1352550</xdr:colOff>
                    <xdr:row>37</xdr:row>
                    <xdr:rowOff>0</xdr:rowOff>
                  </to>
                </anchor>
              </controlPr>
            </control>
          </mc:Choice>
        </mc:AlternateContent>
        <mc:AlternateContent xmlns:mc="http://schemas.openxmlformats.org/markup-compatibility/2006">
          <mc:Choice Requires="x14">
            <control shapeId="17683" r:id="rId32" name="Check Box 275">
              <controlPr defaultSize="0" autoFill="0" autoLine="0" autoPict="0">
                <anchor moveWithCells="1">
                  <from>
                    <xdr:col>2</xdr:col>
                    <xdr:colOff>1466850</xdr:colOff>
                    <xdr:row>36</xdr:row>
                    <xdr:rowOff>9525</xdr:rowOff>
                  </from>
                  <to>
                    <xdr:col>2</xdr:col>
                    <xdr:colOff>2095500</xdr:colOff>
                    <xdr:row>37</xdr:row>
                    <xdr:rowOff>0</xdr:rowOff>
                  </to>
                </anchor>
              </controlPr>
            </control>
          </mc:Choice>
        </mc:AlternateContent>
        <mc:AlternateContent xmlns:mc="http://schemas.openxmlformats.org/markup-compatibility/2006">
          <mc:Choice Requires="x14">
            <control shapeId="17684" r:id="rId33" name="Check Box 276">
              <controlPr defaultSize="0" autoFill="0" autoLine="0" autoPict="0">
                <anchor moveWithCells="1">
                  <from>
                    <xdr:col>2</xdr:col>
                    <xdr:colOff>723900</xdr:colOff>
                    <xdr:row>37</xdr:row>
                    <xdr:rowOff>9525</xdr:rowOff>
                  </from>
                  <to>
                    <xdr:col>2</xdr:col>
                    <xdr:colOff>1352550</xdr:colOff>
                    <xdr:row>38</xdr:row>
                    <xdr:rowOff>0</xdr:rowOff>
                  </to>
                </anchor>
              </controlPr>
            </control>
          </mc:Choice>
        </mc:AlternateContent>
        <mc:AlternateContent xmlns:mc="http://schemas.openxmlformats.org/markup-compatibility/2006">
          <mc:Choice Requires="x14">
            <control shapeId="17685" r:id="rId34" name="Check Box 277">
              <controlPr defaultSize="0" autoFill="0" autoLine="0" autoPict="0">
                <anchor moveWithCells="1">
                  <from>
                    <xdr:col>2</xdr:col>
                    <xdr:colOff>1466850</xdr:colOff>
                    <xdr:row>37</xdr:row>
                    <xdr:rowOff>9525</xdr:rowOff>
                  </from>
                  <to>
                    <xdr:col>2</xdr:col>
                    <xdr:colOff>2095500</xdr:colOff>
                    <xdr:row>38</xdr:row>
                    <xdr:rowOff>0</xdr:rowOff>
                  </to>
                </anchor>
              </controlPr>
            </control>
          </mc:Choice>
        </mc:AlternateContent>
        <mc:AlternateContent xmlns:mc="http://schemas.openxmlformats.org/markup-compatibility/2006">
          <mc:Choice Requires="x14">
            <control shapeId="17686" r:id="rId35" name="Check Box 278">
              <controlPr defaultSize="0" autoFill="0" autoLine="0" autoPict="0">
                <anchor moveWithCells="1">
                  <from>
                    <xdr:col>2</xdr:col>
                    <xdr:colOff>723900</xdr:colOff>
                    <xdr:row>38</xdr:row>
                    <xdr:rowOff>9525</xdr:rowOff>
                  </from>
                  <to>
                    <xdr:col>2</xdr:col>
                    <xdr:colOff>1352550</xdr:colOff>
                    <xdr:row>39</xdr:row>
                    <xdr:rowOff>0</xdr:rowOff>
                  </to>
                </anchor>
              </controlPr>
            </control>
          </mc:Choice>
        </mc:AlternateContent>
        <mc:AlternateContent xmlns:mc="http://schemas.openxmlformats.org/markup-compatibility/2006">
          <mc:Choice Requires="x14">
            <control shapeId="17687" r:id="rId36" name="Check Box 279">
              <controlPr defaultSize="0" autoFill="0" autoLine="0" autoPict="0">
                <anchor moveWithCells="1">
                  <from>
                    <xdr:col>2</xdr:col>
                    <xdr:colOff>1466850</xdr:colOff>
                    <xdr:row>38</xdr:row>
                    <xdr:rowOff>9525</xdr:rowOff>
                  </from>
                  <to>
                    <xdr:col>2</xdr:col>
                    <xdr:colOff>2095500</xdr:colOff>
                    <xdr:row>39</xdr:row>
                    <xdr:rowOff>0</xdr:rowOff>
                  </to>
                </anchor>
              </controlPr>
            </control>
          </mc:Choice>
        </mc:AlternateContent>
        <mc:AlternateContent xmlns:mc="http://schemas.openxmlformats.org/markup-compatibility/2006">
          <mc:Choice Requires="x14">
            <control shapeId="17688" r:id="rId37" name="Check Box 280">
              <controlPr defaultSize="0" autoFill="0" autoLine="0" autoPict="0">
                <anchor moveWithCells="1">
                  <from>
                    <xdr:col>2</xdr:col>
                    <xdr:colOff>723900</xdr:colOff>
                    <xdr:row>39</xdr:row>
                    <xdr:rowOff>9525</xdr:rowOff>
                  </from>
                  <to>
                    <xdr:col>2</xdr:col>
                    <xdr:colOff>1352550</xdr:colOff>
                    <xdr:row>40</xdr:row>
                    <xdr:rowOff>0</xdr:rowOff>
                  </to>
                </anchor>
              </controlPr>
            </control>
          </mc:Choice>
        </mc:AlternateContent>
        <mc:AlternateContent xmlns:mc="http://schemas.openxmlformats.org/markup-compatibility/2006">
          <mc:Choice Requires="x14">
            <control shapeId="17689" r:id="rId38" name="Check Box 281">
              <controlPr defaultSize="0" autoFill="0" autoLine="0" autoPict="0">
                <anchor moveWithCells="1">
                  <from>
                    <xdr:col>2</xdr:col>
                    <xdr:colOff>1466850</xdr:colOff>
                    <xdr:row>39</xdr:row>
                    <xdr:rowOff>9525</xdr:rowOff>
                  </from>
                  <to>
                    <xdr:col>2</xdr:col>
                    <xdr:colOff>2095500</xdr:colOff>
                    <xdr:row>40</xdr:row>
                    <xdr:rowOff>0</xdr:rowOff>
                  </to>
                </anchor>
              </controlPr>
            </control>
          </mc:Choice>
        </mc:AlternateContent>
        <mc:AlternateContent xmlns:mc="http://schemas.openxmlformats.org/markup-compatibility/2006">
          <mc:Choice Requires="x14">
            <control shapeId="17691" r:id="rId39" name="Check Box 283">
              <controlPr defaultSize="0" autoFill="0" autoLine="0" autoPict="0">
                <anchor moveWithCells="1">
                  <from>
                    <xdr:col>2</xdr:col>
                    <xdr:colOff>723900</xdr:colOff>
                    <xdr:row>67</xdr:row>
                    <xdr:rowOff>9525</xdr:rowOff>
                  </from>
                  <to>
                    <xdr:col>2</xdr:col>
                    <xdr:colOff>1352550</xdr:colOff>
                    <xdr:row>68</xdr:row>
                    <xdr:rowOff>0</xdr:rowOff>
                  </to>
                </anchor>
              </controlPr>
            </control>
          </mc:Choice>
        </mc:AlternateContent>
        <mc:AlternateContent xmlns:mc="http://schemas.openxmlformats.org/markup-compatibility/2006">
          <mc:Choice Requires="x14">
            <control shapeId="17692" r:id="rId40" name="Check Box 284">
              <controlPr defaultSize="0" autoFill="0" autoLine="0" autoPict="0">
                <anchor moveWithCells="1">
                  <from>
                    <xdr:col>2</xdr:col>
                    <xdr:colOff>1466850</xdr:colOff>
                    <xdr:row>67</xdr:row>
                    <xdr:rowOff>9525</xdr:rowOff>
                  </from>
                  <to>
                    <xdr:col>2</xdr:col>
                    <xdr:colOff>2095500</xdr:colOff>
                    <xdr:row>68</xdr:row>
                    <xdr:rowOff>0</xdr:rowOff>
                  </to>
                </anchor>
              </controlPr>
            </control>
          </mc:Choice>
        </mc:AlternateContent>
        <mc:AlternateContent xmlns:mc="http://schemas.openxmlformats.org/markup-compatibility/2006">
          <mc:Choice Requires="x14">
            <control shapeId="17703" r:id="rId41" name="Check Box 295">
              <controlPr defaultSize="0" autoFill="0" autoLine="0" autoPict="0">
                <anchor moveWithCells="1">
                  <from>
                    <xdr:col>2</xdr:col>
                    <xdr:colOff>666750</xdr:colOff>
                    <xdr:row>75</xdr:row>
                    <xdr:rowOff>0</xdr:rowOff>
                  </from>
                  <to>
                    <xdr:col>2</xdr:col>
                    <xdr:colOff>1104900</xdr:colOff>
                    <xdr:row>76</xdr:row>
                    <xdr:rowOff>0</xdr:rowOff>
                  </to>
                </anchor>
              </controlPr>
            </control>
          </mc:Choice>
        </mc:AlternateContent>
        <mc:AlternateContent xmlns:mc="http://schemas.openxmlformats.org/markup-compatibility/2006">
          <mc:Choice Requires="x14">
            <control shapeId="17704" r:id="rId42" name="Check Box 296">
              <controlPr defaultSize="0" autoFill="0" autoLine="0" autoPict="0">
                <anchor moveWithCells="1">
                  <from>
                    <xdr:col>2</xdr:col>
                    <xdr:colOff>1143000</xdr:colOff>
                    <xdr:row>75</xdr:row>
                    <xdr:rowOff>9525</xdr:rowOff>
                  </from>
                  <to>
                    <xdr:col>2</xdr:col>
                    <xdr:colOff>1581150</xdr:colOff>
                    <xdr:row>76</xdr:row>
                    <xdr:rowOff>0</xdr:rowOff>
                  </to>
                </anchor>
              </controlPr>
            </control>
          </mc:Choice>
        </mc:AlternateContent>
        <mc:AlternateContent xmlns:mc="http://schemas.openxmlformats.org/markup-compatibility/2006">
          <mc:Choice Requires="x14">
            <control shapeId="17705" r:id="rId43" name="Check Box 297">
              <controlPr defaultSize="0" autoFill="0" autoLine="0" autoPict="0">
                <anchor moveWithCells="1">
                  <from>
                    <xdr:col>2</xdr:col>
                    <xdr:colOff>1600200</xdr:colOff>
                    <xdr:row>75</xdr:row>
                    <xdr:rowOff>9525</xdr:rowOff>
                  </from>
                  <to>
                    <xdr:col>2</xdr:col>
                    <xdr:colOff>2057400</xdr:colOff>
                    <xdr:row>76</xdr:row>
                    <xdr:rowOff>0</xdr:rowOff>
                  </to>
                </anchor>
              </controlPr>
            </control>
          </mc:Choice>
        </mc:AlternateContent>
        <mc:AlternateContent xmlns:mc="http://schemas.openxmlformats.org/markup-compatibility/2006">
          <mc:Choice Requires="x14">
            <control shapeId="17712" r:id="rId44" name="Check Box 304">
              <controlPr defaultSize="0" autoFill="0" autoLine="0" autoPict="0">
                <anchor moveWithCells="1">
                  <from>
                    <xdr:col>3</xdr:col>
                    <xdr:colOff>666750</xdr:colOff>
                    <xdr:row>75</xdr:row>
                    <xdr:rowOff>0</xdr:rowOff>
                  </from>
                  <to>
                    <xdr:col>3</xdr:col>
                    <xdr:colOff>1104900</xdr:colOff>
                    <xdr:row>76</xdr:row>
                    <xdr:rowOff>0</xdr:rowOff>
                  </to>
                </anchor>
              </controlPr>
            </control>
          </mc:Choice>
        </mc:AlternateContent>
        <mc:AlternateContent xmlns:mc="http://schemas.openxmlformats.org/markup-compatibility/2006">
          <mc:Choice Requires="x14">
            <control shapeId="17713" r:id="rId45" name="Check Box 305">
              <controlPr defaultSize="0" autoFill="0" autoLine="0" autoPict="0">
                <anchor moveWithCells="1">
                  <from>
                    <xdr:col>3</xdr:col>
                    <xdr:colOff>1143000</xdr:colOff>
                    <xdr:row>75</xdr:row>
                    <xdr:rowOff>9525</xdr:rowOff>
                  </from>
                  <to>
                    <xdr:col>3</xdr:col>
                    <xdr:colOff>1581150</xdr:colOff>
                    <xdr:row>76</xdr:row>
                    <xdr:rowOff>0</xdr:rowOff>
                  </to>
                </anchor>
              </controlPr>
            </control>
          </mc:Choice>
        </mc:AlternateContent>
        <mc:AlternateContent xmlns:mc="http://schemas.openxmlformats.org/markup-compatibility/2006">
          <mc:Choice Requires="x14">
            <control shapeId="17714" r:id="rId46" name="Check Box 306">
              <controlPr defaultSize="0" autoFill="0" autoLine="0" autoPict="0">
                <anchor moveWithCells="1">
                  <from>
                    <xdr:col>3</xdr:col>
                    <xdr:colOff>1600200</xdr:colOff>
                    <xdr:row>75</xdr:row>
                    <xdr:rowOff>9525</xdr:rowOff>
                  </from>
                  <to>
                    <xdr:col>3</xdr:col>
                    <xdr:colOff>2057400</xdr:colOff>
                    <xdr:row>76</xdr:row>
                    <xdr:rowOff>0</xdr:rowOff>
                  </to>
                </anchor>
              </controlPr>
            </control>
          </mc:Choice>
        </mc:AlternateContent>
        <mc:AlternateContent xmlns:mc="http://schemas.openxmlformats.org/markup-compatibility/2006">
          <mc:Choice Requires="x14">
            <control shapeId="17715" r:id="rId47" name="Check Box 307">
              <controlPr defaultSize="0" autoFill="0" autoLine="0" autoPict="0">
                <anchor moveWithCells="1">
                  <from>
                    <xdr:col>4</xdr:col>
                    <xdr:colOff>666750</xdr:colOff>
                    <xdr:row>75</xdr:row>
                    <xdr:rowOff>0</xdr:rowOff>
                  </from>
                  <to>
                    <xdr:col>4</xdr:col>
                    <xdr:colOff>1104900</xdr:colOff>
                    <xdr:row>76</xdr:row>
                    <xdr:rowOff>0</xdr:rowOff>
                  </to>
                </anchor>
              </controlPr>
            </control>
          </mc:Choice>
        </mc:AlternateContent>
        <mc:AlternateContent xmlns:mc="http://schemas.openxmlformats.org/markup-compatibility/2006">
          <mc:Choice Requires="x14">
            <control shapeId="17716" r:id="rId48" name="Check Box 308">
              <controlPr defaultSize="0" autoFill="0" autoLine="0" autoPict="0">
                <anchor moveWithCells="1">
                  <from>
                    <xdr:col>4</xdr:col>
                    <xdr:colOff>1143000</xdr:colOff>
                    <xdr:row>75</xdr:row>
                    <xdr:rowOff>9525</xdr:rowOff>
                  </from>
                  <to>
                    <xdr:col>4</xdr:col>
                    <xdr:colOff>1581150</xdr:colOff>
                    <xdr:row>76</xdr:row>
                    <xdr:rowOff>0</xdr:rowOff>
                  </to>
                </anchor>
              </controlPr>
            </control>
          </mc:Choice>
        </mc:AlternateContent>
        <mc:AlternateContent xmlns:mc="http://schemas.openxmlformats.org/markup-compatibility/2006">
          <mc:Choice Requires="x14">
            <control shapeId="17717" r:id="rId49" name="Check Box 309">
              <controlPr defaultSize="0" autoFill="0" autoLine="0" autoPict="0">
                <anchor moveWithCells="1">
                  <from>
                    <xdr:col>4</xdr:col>
                    <xdr:colOff>1600200</xdr:colOff>
                    <xdr:row>75</xdr:row>
                    <xdr:rowOff>9525</xdr:rowOff>
                  </from>
                  <to>
                    <xdr:col>4</xdr:col>
                    <xdr:colOff>2057400</xdr:colOff>
                    <xdr:row>76</xdr:row>
                    <xdr:rowOff>0</xdr:rowOff>
                  </to>
                </anchor>
              </controlPr>
            </control>
          </mc:Choice>
        </mc:AlternateContent>
        <mc:AlternateContent xmlns:mc="http://schemas.openxmlformats.org/markup-compatibility/2006">
          <mc:Choice Requires="x14">
            <control shapeId="17719" r:id="rId50" name="Check Box 311">
              <controlPr defaultSize="0" autoFill="0" autoLine="0" autoPict="0">
                <anchor moveWithCells="1">
                  <from>
                    <xdr:col>2</xdr:col>
                    <xdr:colOff>723900</xdr:colOff>
                    <xdr:row>86</xdr:row>
                    <xdr:rowOff>9525</xdr:rowOff>
                  </from>
                  <to>
                    <xdr:col>2</xdr:col>
                    <xdr:colOff>1352550</xdr:colOff>
                    <xdr:row>87</xdr:row>
                    <xdr:rowOff>0</xdr:rowOff>
                  </to>
                </anchor>
              </controlPr>
            </control>
          </mc:Choice>
        </mc:AlternateContent>
        <mc:AlternateContent xmlns:mc="http://schemas.openxmlformats.org/markup-compatibility/2006">
          <mc:Choice Requires="x14">
            <control shapeId="17720" r:id="rId51" name="Check Box 312">
              <controlPr defaultSize="0" autoFill="0" autoLine="0" autoPict="0">
                <anchor moveWithCells="1">
                  <from>
                    <xdr:col>2</xdr:col>
                    <xdr:colOff>1466850</xdr:colOff>
                    <xdr:row>86</xdr:row>
                    <xdr:rowOff>9525</xdr:rowOff>
                  </from>
                  <to>
                    <xdr:col>2</xdr:col>
                    <xdr:colOff>2095500</xdr:colOff>
                    <xdr:row>87</xdr:row>
                    <xdr:rowOff>0</xdr:rowOff>
                  </to>
                </anchor>
              </controlPr>
            </control>
          </mc:Choice>
        </mc:AlternateContent>
        <mc:AlternateContent xmlns:mc="http://schemas.openxmlformats.org/markup-compatibility/2006">
          <mc:Choice Requires="x14">
            <control shapeId="17721" r:id="rId52" name="Check Box 313">
              <controlPr defaultSize="0" autoFill="0" autoLine="0" autoPict="0">
                <anchor moveWithCells="1">
                  <from>
                    <xdr:col>2</xdr:col>
                    <xdr:colOff>723900</xdr:colOff>
                    <xdr:row>87</xdr:row>
                    <xdr:rowOff>9525</xdr:rowOff>
                  </from>
                  <to>
                    <xdr:col>2</xdr:col>
                    <xdr:colOff>1352550</xdr:colOff>
                    <xdr:row>88</xdr:row>
                    <xdr:rowOff>0</xdr:rowOff>
                  </to>
                </anchor>
              </controlPr>
            </control>
          </mc:Choice>
        </mc:AlternateContent>
        <mc:AlternateContent xmlns:mc="http://schemas.openxmlformats.org/markup-compatibility/2006">
          <mc:Choice Requires="x14">
            <control shapeId="17722" r:id="rId53" name="Check Box 314">
              <controlPr defaultSize="0" autoFill="0" autoLine="0" autoPict="0">
                <anchor moveWithCells="1">
                  <from>
                    <xdr:col>2</xdr:col>
                    <xdr:colOff>1466850</xdr:colOff>
                    <xdr:row>87</xdr:row>
                    <xdr:rowOff>9525</xdr:rowOff>
                  </from>
                  <to>
                    <xdr:col>2</xdr:col>
                    <xdr:colOff>2095500</xdr:colOff>
                    <xdr:row>88</xdr:row>
                    <xdr:rowOff>0</xdr:rowOff>
                  </to>
                </anchor>
              </controlPr>
            </control>
          </mc:Choice>
        </mc:AlternateContent>
        <mc:AlternateContent xmlns:mc="http://schemas.openxmlformats.org/markup-compatibility/2006">
          <mc:Choice Requires="x14">
            <control shapeId="17723" r:id="rId54" name="Check Box 315">
              <controlPr defaultSize="0" autoFill="0" autoLine="0" autoPict="0">
                <anchor moveWithCells="1">
                  <from>
                    <xdr:col>2</xdr:col>
                    <xdr:colOff>723900</xdr:colOff>
                    <xdr:row>88</xdr:row>
                    <xdr:rowOff>9525</xdr:rowOff>
                  </from>
                  <to>
                    <xdr:col>2</xdr:col>
                    <xdr:colOff>1352550</xdr:colOff>
                    <xdr:row>89</xdr:row>
                    <xdr:rowOff>0</xdr:rowOff>
                  </to>
                </anchor>
              </controlPr>
            </control>
          </mc:Choice>
        </mc:AlternateContent>
        <mc:AlternateContent xmlns:mc="http://schemas.openxmlformats.org/markup-compatibility/2006">
          <mc:Choice Requires="x14">
            <control shapeId="17724" r:id="rId55" name="Check Box 316">
              <controlPr defaultSize="0" autoFill="0" autoLine="0" autoPict="0">
                <anchor moveWithCells="1">
                  <from>
                    <xdr:col>2</xdr:col>
                    <xdr:colOff>1466850</xdr:colOff>
                    <xdr:row>88</xdr:row>
                    <xdr:rowOff>9525</xdr:rowOff>
                  </from>
                  <to>
                    <xdr:col>2</xdr:col>
                    <xdr:colOff>2095500</xdr:colOff>
                    <xdr:row>89</xdr:row>
                    <xdr:rowOff>0</xdr:rowOff>
                  </to>
                </anchor>
              </controlPr>
            </control>
          </mc:Choice>
        </mc:AlternateContent>
        <mc:AlternateContent xmlns:mc="http://schemas.openxmlformats.org/markup-compatibility/2006">
          <mc:Choice Requires="x14">
            <control shapeId="17725" r:id="rId56" name="Check Box 317">
              <controlPr defaultSize="0" autoFill="0" autoLine="0" autoPict="0">
                <anchor moveWithCells="1">
                  <from>
                    <xdr:col>2</xdr:col>
                    <xdr:colOff>723900</xdr:colOff>
                    <xdr:row>89</xdr:row>
                    <xdr:rowOff>9525</xdr:rowOff>
                  </from>
                  <to>
                    <xdr:col>2</xdr:col>
                    <xdr:colOff>1352550</xdr:colOff>
                    <xdr:row>90</xdr:row>
                    <xdr:rowOff>0</xdr:rowOff>
                  </to>
                </anchor>
              </controlPr>
            </control>
          </mc:Choice>
        </mc:AlternateContent>
        <mc:AlternateContent xmlns:mc="http://schemas.openxmlformats.org/markup-compatibility/2006">
          <mc:Choice Requires="x14">
            <control shapeId="17726" r:id="rId57" name="Check Box 318">
              <controlPr defaultSize="0" autoFill="0" autoLine="0" autoPict="0">
                <anchor moveWithCells="1">
                  <from>
                    <xdr:col>2</xdr:col>
                    <xdr:colOff>1466850</xdr:colOff>
                    <xdr:row>89</xdr:row>
                    <xdr:rowOff>9525</xdr:rowOff>
                  </from>
                  <to>
                    <xdr:col>2</xdr:col>
                    <xdr:colOff>2095500</xdr:colOff>
                    <xdr:row>90</xdr:row>
                    <xdr:rowOff>0</xdr:rowOff>
                  </to>
                </anchor>
              </controlPr>
            </control>
          </mc:Choice>
        </mc:AlternateContent>
        <mc:AlternateContent xmlns:mc="http://schemas.openxmlformats.org/markup-compatibility/2006">
          <mc:Choice Requires="x14">
            <control shapeId="17727" r:id="rId58" name="Check Box 319">
              <controlPr defaultSize="0" autoFill="0" autoLine="0" autoPict="0">
                <anchor moveWithCells="1">
                  <from>
                    <xdr:col>2</xdr:col>
                    <xdr:colOff>666750</xdr:colOff>
                    <xdr:row>92</xdr:row>
                    <xdr:rowOff>0</xdr:rowOff>
                  </from>
                  <to>
                    <xdr:col>2</xdr:col>
                    <xdr:colOff>1104900</xdr:colOff>
                    <xdr:row>93</xdr:row>
                    <xdr:rowOff>0</xdr:rowOff>
                  </to>
                </anchor>
              </controlPr>
            </control>
          </mc:Choice>
        </mc:AlternateContent>
        <mc:AlternateContent xmlns:mc="http://schemas.openxmlformats.org/markup-compatibility/2006">
          <mc:Choice Requires="x14">
            <control shapeId="17728" r:id="rId59" name="Check Box 320">
              <controlPr defaultSize="0" autoFill="0" autoLine="0" autoPict="0">
                <anchor moveWithCells="1">
                  <from>
                    <xdr:col>2</xdr:col>
                    <xdr:colOff>1143000</xdr:colOff>
                    <xdr:row>92</xdr:row>
                    <xdr:rowOff>9525</xdr:rowOff>
                  </from>
                  <to>
                    <xdr:col>2</xdr:col>
                    <xdr:colOff>1581150</xdr:colOff>
                    <xdr:row>92</xdr:row>
                    <xdr:rowOff>495300</xdr:rowOff>
                  </to>
                </anchor>
              </controlPr>
            </control>
          </mc:Choice>
        </mc:AlternateContent>
        <mc:AlternateContent xmlns:mc="http://schemas.openxmlformats.org/markup-compatibility/2006">
          <mc:Choice Requires="x14">
            <control shapeId="17729" r:id="rId60" name="Check Box 321">
              <controlPr defaultSize="0" autoFill="0" autoLine="0" autoPict="0">
                <anchor moveWithCells="1">
                  <from>
                    <xdr:col>2</xdr:col>
                    <xdr:colOff>1600200</xdr:colOff>
                    <xdr:row>92</xdr:row>
                    <xdr:rowOff>9525</xdr:rowOff>
                  </from>
                  <to>
                    <xdr:col>2</xdr:col>
                    <xdr:colOff>2057400</xdr:colOff>
                    <xdr:row>93</xdr:row>
                    <xdr:rowOff>0</xdr:rowOff>
                  </to>
                </anchor>
              </controlPr>
            </control>
          </mc:Choice>
        </mc:AlternateContent>
        <mc:AlternateContent xmlns:mc="http://schemas.openxmlformats.org/markup-compatibility/2006">
          <mc:Choice Requires="x14">
            <control shapeId="17772" r:id="rId61" name="Check Box 364">
              <controlPr defaultSize="0" autoFill="0" autoLine="0" autoPict="0">
                <anchor moveWithCells="1">
                  <from>
                    <xdr:col>2</xdr:col>
                    <xdr:colOff>666750</xdr:colOff>
                    <xdr:row>93</xdr:row>
                    <xdr:rowOff>0</xdr:rowOff>
                  </from>
                  <to>
                    <xdr:col>2</xdr:col>
                    <xdr:colOff>1104900</xdr:colOff>
                    <xdr:row>94</xdr:row>
                    <xdr:rowOff>0</xdr:rowOff>
                  </to>
                </anchor>
              </controlPr>
            </control>
          </mc:Choice>
        </mc:AlternateContent>
        <mc:AlternateContent xmlns:mc="http://schemas.openxmlformats.org/markup-compatibility/2006">
          <mc:Choice Requires="x14">
            <control shapeId="17773" r:id="rId62" name="Check Box 365">
              <controlPr defaultSize="0" autoFill="0" autoLine="0" autoPict="0">
                <anchor moveWithCells="1">
                  <from>
                    <xdr:col>2</xdr:col>
                    <xdr:colOff>1143000</xdr:colOff>
                    <xdr:row>93</xdr:row>
                    <xdr:rowOff>9525</xdr:rowOff>
                  </from>
                  <to>
                    <xdr:col>2</xdr:col>
                    <xdr:colOff>1581150</xdr:colOff>
                    <xdr:row>93</xdr:row>
                    <xdr:rowOff>495300</xdr:rowOff>
                  </to>
                </anchor>
              </controlPr>
            </control>
          </mc:Choice>
        </mc:AlternateContent>
        <mc:AlternateContent xmlns:mc="http://schemas.openxmlformats.org/markup-compatibility/2006">
          <mc:Choice Requires="x14">
            <control shapeId="17774" r:id="rId63" name="Check Box 366">
              <controlPr defaultSize="0" autoFill="0" autoLine="0" autoPict="0">
                <anchor moveWithCells="1">
                  <from>
                    <xdr:col>2</xdr:col>
                    <xdr:colOff>1600200</xdr:colOff>
                    <xdr:row>93</xdr:row>
                    <xdr:rowOff>9525</xdr:rowOff>
                  </from>
                  <to>
                    <xdr:col>2</xdr:col>
                    <xdr:colOff>2057400</xdr:colOff>
                    <xdr:row>94</xdr:row>
                    <xdr:rowOff>0</xdr:rowOff>
                  </to>
                </anchor>
              </controlPr>
            </control>
          </mc:Choice>
        </mc:AlternateContent>
        <mc:AlternateContent xmlns:mc="http://schemas.openxmlformats.org/markup-compatibility/2006">
          <mc:Choice Requires="x14">
            <control shapeId="17775" r:id="rId64" name="Check Box 367">
              <controlPr defaultSize="0" autoFill="0" autoLine="0" autoPict="0">
                <anchor moveWithCells="1">
                  <from>
                    <xdr:col>2</xdr:col>
                    <xdr:colOff>666750</xdr:colOff>
                    <xdr:row>94</xdr:row>
                    <xdr:rowOff>0</xdr:rowOff>
                  </from>
                  <to>
                    <xdr:col>2</xdr:col>
                    <xdr:colOff>1104900</xdr:colOff>
                    <xdr:row>95</xdr:row>
                    <xdr:rowOff>0</xdr:rowOff>
                  </to>
                </anchor>
              </controlPr>
            </control>
          </mc:Choice>
        </mc:AlternateContent>
        <mc:AlternateContent xmlns:mc="http://schemas.openxmlformats.org/markup-compatibility/2006">
          <mc:Choice Requires="x14">
            <control shapeId="17776" r:id="rId65" name="Check Box 368">
              <controlPr defaultSize="0" autoFill="0" autoLine="0" autoPict="0">
                <anchor moveWithCells="1">
                  <from>
                    <xdr:col>2</xdr:col>
                    <xdr:colOff>1143000</xdr:colOff>
                    <xdr:row>94</xdr:row>
                    <xdr:rowOff>9525</xdr:rowOff>
                  </from>
                  <to>
                    <xdr:col>2</xdr:col>
                    <xdr:colOff>1581150</xdr:colOff>
                    <xdr:row>94</xdr:row>
                    <xdr:rowOff>495300</xdr:rowOff>
                  </to>
                </anchor>
              </controlPr>
            </control>
          </mc:Choice>
        </mc:AlternateContent>
        <mc:AlternateContent xmlns:mc="http://schemas.openxmlformats.org/markup-compatibility/2006">
          <mc:Choice Requires="x14">
            <control shapeId="17777" r:id="rId66" name="Check Box 369">
              <controlPr defaultSize="0" autoFill="0" autoLine="0" autoPict="0">
                <anchor moveWithCells="1">
                  <from>
                    <xdr:col>2</xdr:col>
                    <xdr:colOff>1600200</xdr:colOff>
                    <xdr:row>94</xdr:row>
                    <xdr:rowOff>9525</xdr:rowOff>
                  </from>
                  <to>
                    <xdr:col>2</xdr:col>
                    <xdr:colOff>2057400</xdr:colOff>
                    <xdr:row>95</xdr:row>
                    <xdr:rowOff>0</xdr:rowOff>
                  </to>
                </anchor>
              </controlPr>
            </control>
          </mc:Choice>
        </mc:AlternateContent>
        <mc:AlternateContent xmlns:mc="http://schemas.openxmlformats.org/markup-compatibility/2006">
          <mc:Choice Requires="x14">
            <control shapeId="17778" r:id="rId67" name="Check Box 370">
              <controlPr defaultSize="0" autoFill="0" autoLine="0" autoPict="0">
                <anchor moveWithCells="1">
                  <from>
                    <xdr:col>2</xdr:col>
                    <xdr:colOff>666750</xdr:colOff>
                    <xdr:row>95</xdr:row>
                    <xdr:rowOff>0</xdr:rowOff>
                  </from>
                  <to>
                    <xdr:col>2</xdr:col>
                    <xdr:colOff>1104900</xdr:colOff>
                    <xdr:row>96</xdr:row>
                    <xdr:rowOff>0</xdr:rowOff>
                  </to>
                </anchor>
              </controlPr>
            </control>
          </mc:Choice>
        </mc:AlternateContent>
        <mc:AlternateContent xmlns:mc="http://schemas.openxmlformats.org/markup-compatibility/2006">
          <mc:Choice Requires="x14">
            <control shapeId="17779" r:id="rId68" name="Check Box 371">
              <controlPr defaultSize="0" autoFill="0" autoLine="0" autoPict="0">
                <anchor moveWithCells="1">
                  <from>
                    <xdr:col>2</xdr:col>
                    <xdr:colOff>1143000</xdr:colOff>
                    <xdr:row>95</xdr:row>
                    <xdr:rowOff>9525</xdr:rowOff>
                  </from>
                  <to>
                    <xdr:col>2</xdr:col>
                    <xdr:colOff>1581150</xdr:colOff>
                    <xdr:row>95</xdr:row>
                    <xdr:rowOff>495300</xdr:rowOff>
                  </to>
                </anchor>
              </controlPr>
            </control>
          </mc:Choice>
        </mc:AlternateContent>
        <mc:AlternateContent xmlns:mc="http://schemas.openxmlformats.org/markup-compatibility/2006">
          <mc:Choice Requires="x14">
            <control shapeId="17780" r:id="rId69" name="Check Box 372">
              <controlPr defaultSize="0" autoFill="0" autoLine="0" autoPict="0">
                <anchor moveWithCells="1">
                  <from>
                    <xdr:col>2</xdr:col>
                    <xdr:colOff>1600200</xdr:colOff>
                    <xdr:row>95</xdr:row>
                    <xdr:rowOff>9525</xdr:rowOff>
                  </from>
                  <to>
                    <xdr:col>2</xdr:col>
                    <xdr:colOff>2057400</xdr:colOff>
                    <xdr:row>96</xdr:row>
                    <xdr:rowOff>0</xdr:rowOff>
                  </to>
                </anchor>
              </controlPr>
            </control>
          </mc:Choice>
        </mc:AlternateContent>
        <mc:AlternateContent xmlns:mc="http://schemas.openxmlformats.org/markup-compatibility/2006">
          <mc:Choice Requires="x14">
            <control shapeId="17781" r:id="rId70" name="Check Box 373">
              <controlPr defaultSize="0" autoFill="0" autoLine="0" autoPict="0">
                <anchor moveWithCells="1">
                  <from>
                    <xdr:col>2</xdr:col>
                    <xdr:colOff>666750</xdr:colOff>
                    <xdr:row>97</xdr:row>
                    <xdr:rowOff>0</xdr:rowOff>
                  </from>
                  <to>
                    <xdr:col>2</xdr:col>
                    <xdr:colOff>1104900</xdr:colOff>
                    <xdr:row>98</xdr:row>
                    <xdr:rowOff>0</xdr:rowOff>
                  </to>
                </anchor>
              </controlPr>
            </control>
          </mc:Choice>
        </mc:AlternateContent>
        <mc:AlternateContent xmlns:mc="http://schemas.openxmlformats.org/markup-compatibility/2006">
          <mc:Choice Requires="x14">
            <control shapeId="17782" r:id="rId71" name="Check Box 374">
              <controlPr defaultSize="0" autoFill="0" autoLine="0" autoPict="0">
                <anchor moveWithCells="1">
                  <from>
                    <xdr:col>2</xdr:col>
                    <xdr:colOff>1143000</xdr:colOff>
                    <xdr:row>97</xdr:row>
                    <xdr:rowOff>9525</xdr:rowOff>
                  </from>
                  <to>
                    <xdr:col>2</xdr:col>
                    <xdr:colOff>1581150</xdr:colOff>
                    <xdr:row>97</xdr:row>
                    <xdr:rowOff>495300</xdr:rowOff>
                  </to>
                </anchor>
              </controlPr>
            </control>
          </mc:Choice>
        </mc:AlternateContent>
        <mc:AlternateContent xmlns:mc="http://schemas.openxmlformats.org/markup-compatibility/2006">
          <mc:Choice Requires="x14">
            <control shapeId="17783" r:id="rId72" name="Check Box 375">
              <controlPr defaultSize="0" autoFill="0" autoLine="0" autoPict="0">
                <anchor moveWithCells="1">
                  <from>
                    <xdr:col>2</xdr:col>
                    <xdr:colOff>1600200</xdr:colOff>
                    <xdr:row>97</xdr:row>
                    <xdr:rowOff>9525</xdr:rowOff>
                  </from>
                  <to>
                    <xdr:col>2</xdr:col>
                    <xdr:colOff>2057400</xdr:colOff>
                    <xdr:row>98</xdr:row>
                    <xdr:rowOff>0</xdr:rowOff>
                  </to>
                </anchor>
              </controlPr>
            </control>
          </mc:Choice>
        </mc:AlternateContent>
        <mc:AlternateContent xmlns:mc="http://schemas.openxmlformats.org/markup-compatibility/2006">
          <mc:Choice Requires="x14">
            <control shapeId="17784" r:id="rId73" name="Check Box 376">
              <controlPr defaultSize="0" autoFill="0" autoLine="0" autoPict="0">
                <anchor moveWithCells="1">
                  <from>
                    <xdr:col>2</xdr:col>
                    <xdr:colOff>666750</xdr:colOff>
                    <xdr:row>98</xdr:row>
                    <xdr:rowOff>0</xdr:rowOff>
                  </from>
                  <to>
                    <xdr:col>2</xdr:col>
                    <xdr:colOff>1104900</xdr:colOff>
                    <xdr:row>99</xdr:row>
                    <xdr:rowOff>0</xdr:rowOff>
                  </to>
                </anchor>
              </controlPr>
            </control>
          </mc:Choice>
        </mc:AlternateContent>
        <mc:AlternateContent xmlns:mc="http://schemas.openxmlformats.org/markup-compatibility/2006">
          <mc:Choice Requires="x14">
            <control shapeId="17785" r:id="rId74" name="Check Box 377">
              <controlPr defaultSize="0" autoFill="0" autoLine="0" autoPict="0">
                <anchor moveWithCells="1">
                  <from>
                    <xdr:col>2</xdr:col>
                    <xdr:colOff>1143000</xdr:colOff>
                    <xdr:row>98</xdr:row>
                    <xdr:rowOff>9525</xdr:rowOff>
                  </from>
                  <to>
                    <xdr:col>2</xdr:col>
                    <xdr:colOff>1581150</xdr:colOff>
                    <xdr:row>98</xdr:row>
                    <xdr:rowOff>495300</xdr:rowOff>
                  </to>
                </anchor>
              </controlPr>
            </control>
          </mc:Choice>
        </mc:AlternateContent>
        <mc:AlternateContent xmlns:mc="http://schemas.openxmlformats.org/markup-compatibility/2006">
          <mc:Choice Requires="x14">
            <control shapeId="17786" r:id="rId75" name="Check Box 378">
              <controlPr defaultSize="0" autoFill="0" autoLine="0" autoPict="0">
                <anchor moveWithCells="1">
                  <from>
                    <xdr:col>2</xdr:col>
                    <xdr:colOff>1600200</xdr:colOff>
                    <xdr:row>98</xdr:row>
                    <xdr:rowOff>9525</xdr:rowOff>
                  </from>
                  <to>
                    <xdr:col>2</xdr:col>
                    <xdr:colOff>2057400</xdr:colOff>
                    <xdr:row>99</xdr:row>
                    <xdr:rowOff>0</xdr:rowOff>
                  </to>
                </anchor>
              </controlPr>
            </control>
          </mc:Choice>
        </mc:AlternateContent>
        <mc:AlternateContent xmlns:mc="http://schemas.openxmlformats.org/markup-compatibility/2006">
          <mc:Choice Requires="x14">
            <control shapeId="17787" r:id="rId76" name="Check Box 379">
              <controlPr defaultSize="0" autoFill="0" autoLine="0" autoPict="0">
                <anchor moveWithCells="1">
                  <from>
                    <xdr:col>2</xdr:col>
                    <xdr:colOff>666750</xdr:colOff>
                    <xdr:row>99</xdr:row>
                    <xdr:rowOff>0</xdr:rowOff>
                  </from>
                  <to>
                    <xdr:col>2</xdr:col>
                    <xdr:colOff>1104900</xdr:colOff>
                    <xdr:row>100</xdr:row>
                    <xdr:rowOff>0</xdr:rowOff>
                  </to>
                </anchor>
              </controlPr>
            </control>
          </mc:Choice>
        </mc:AlternateContent>
        <mc:AlternateContent xmlns:mc="http://schemas.openxmlformats.org/markup-compatibility/2006">
          <mc:Choice Requires="x14">
            <control shapeId="17788" r:id="rId77" name="Check Box 380">
              <controlPr defaultSize="0" autoFill="0" autoLine="0" autoPict="0">
                <anchor moveWithCells="1">
                  <from>
                    <xdr:col>2</xdr:col>
                    <xdr:colOff>1143000</xdr:colOff>
                    <xdr:row>99</xdr:row>
                    <xdr:rowOff>9525</xdr:rowOff>
                  </from>
                  <to>
                    <xdr:col>2</xdr:col>
                    <xdr:colOff>1581150</xdr:colOff>
                    <xdr:row>99</xdr:row>
                    <xdr:rowOff>495300</xdr:rowOff>
                  </to>
                </anchor>
              </controlPr>
            </control>
          </mc:Choice>
        </mc:AlternateContent>
        <mc:AlternateContent xmlns:mc="http://schemas.openxmlformats.org/markup-compatibility/2006">
          <mc:Choice Requires="x14">
            <control shapeId="17789" r:id="rId78" name="Check Box 381">
              <controlPr defaultSize="0" autoFill="0" autoLine="0" autoPict="0">
                <anchor moveWithCells="1">
                  <from>
                    <xdr:col>2</xdr:col>
                    <xdr:colOff>1600200</xdr:colOff>
                    <xdr:row>99</xdr:row>
                    <xdr:rowOff>9525</xdr:rowOff>
                  </from>
                  <to>
                    <xdr:col>2</xdr:col>
                    <xdr:colOff>2057400</xdr:colOff>
                    <xdr:row>100</xdr:row>
                    <xdr:rowOff>0</xdr:rowOff>
                  </to>
                </anchor>
              </controlPr>
            </control>
          </mc:Choice>
        </mc:AlternateContent>
        <mc:AlternateContent xmlns:mc="http://schemas.openxmlformats.org/markup-compatibility/2006">
          <mc:Choice Requires="x14">
            <control shapeId="17790" r:id="rId79" name="Check Box 382">
              <controlPr defaultSize="0" autoFill="0" autoLine="0" autoPict="0">
                <anchor moveWithCells="1">
                  <from>
                    <xdr:col>2</xdr:col>
                    <xdr:colOff>666750</xdr:colOff>
                    <xdr:row>100</xdr:row>
                    <xdr:rowOff>0</xdr:rowOff>
                  </from>
                  <to>
                    <xdr:col>2</xdr:col>
                    <xdr:colOff>1104900</xdr:colOff>
                    <xdr:row>101</xdr:row>
                    <xdr:rowOff>0</xdr:rowOff>
                  </to>
                </anchor>
              </controlPr>
            </control>
          </mc:Choice>
        </mc:AlternateContent>
        <mc:AlternateContent xmlns:mc="http://schemas.openxmlformats.org/markup-compatibility/2006">
          <mc:Choice Requires="x14">
            <control shapeId="17791" r:id="rId80" name="Check Box 383">
              <controlPr defaultSize="0" autoFill="0" autoLine="0" autoPict="0">
                <anchor moveWithCells="1">
                  <from>
                    <xdr:col>2</xdr:col>
                    <xdr:colOff>1143000</xdr:colOff>
                    <xdr:row>100</xdr:row>
                    <xdr:rowOff>9525</xdr:rowOff>
                  </from>
                  <to>
                    <xdr:col>2</xdr:col>
                    <xdr:colOff>1581150</xdr:colOff>
                    <xdr:row>100</xdr:row>
                    <xdr:rowOff>495300</xdr:rowOff>
                  </to>
                </anchor>
              </controlPr>
            </control>
          </mc:Choice>
        </mc:AlternateContent>
        <mc:AlternateContent xmlns:mc="http://schemas.openxmlformats.org/markup-compatibility/2006">
          <mc:Choice Requires="x14">
            <control shapeId="17792" r:id="rId81" name="Check Box 384">
              <controlPr defaultSize="0" autoFill="0" autoLine="0" autoPict="0">
                <anchor moveWithCells="1">
                  <from>
                    <xdr:col>2</xdr:col>
                    <xdr:colOff>1600200</xdr:colOff>
                    <xdr:row>100</xdr:row>
                    <xdr:rowOff>9525</xdr:rowOff>
                  </from>
                  <to>
                    <xdr:col>2</xdr:col>
                    <xdr:colOff>2057400</xdr:colOff>
                    <xdr:row>101</xdr:row>
                    <xdr:rowOff>0</xdr:rowOff>
                  </to>
                </anchor>
              </controlPr>
            </control>
          </mc:Choice>
        </mc:AlternateContent>
        <mc:AlternateContent xmlns:mc="http://schemas.openxmlformats.org/markup-compatibility/2006">
          <mc:Choice Requires="x14">
            <control shapeId="17806" r:id="rId82" name="Check Box 398">
              <controlPr defaultSize="0" autoFill="0" autoLine="0" autoPict="0">
                <anchor moveWithCells="1">
                  <from>
                    <xdr:col>2</xdr:col>
                    <xdr:colOff>142875</xdr:colOff>
                    <xdr:row>8</xdr:row>
                    <xdr:rowOff>9525</xdr:rowOff>
                  </from>
                  <to>
                    <xdr:col>2</xdr:col>
                    <xdr:colOff>942975</xdr:colOff>
                    <xdr:row>8</xdr:row>
                    <xdr:rowOff>600075</xdr:rowOff>
                  </to>
                </anchor>
              </controlPr>
            </control>
          </mc:Choice>
        </mc:AlternateContent>
        <mc:AlternateContent xmlns:mc="http://schemas.openxmlformats.org/markup-compatibility/2006">
          <mc:Choice Requires="x14">
            <control shapeId="17807" r:id="rId83" name="Check Box 399">
              <controlPr defaultSize="0" autoFill="0" autoLine="0" autoPict="0">
                <anchor moveWithCells="1">
                  <from>
                    <xdr:col>2</xdr:col>
                    <xdr:colOff>962025</xdr:colOff>
                    <xdr:row>8</xdr:row>
                    <xdr:rowOff>9525</xdr:rowOff>
                  </from>
                  <to>
                    <xdr:col>2</xdr:col>
                    <xdr:colOff>1762125</xdr:colOff>
                    <xdr:row>8</xdr:row>
                    <xdr:rowOff>600075</xdr:rowOff>
                  </to>
                </anchor>
              </controlPr>
            </control>
          </mc:Choice>
        </mc:AlternateContent>
        <mc:AlternateContent xmlns:mc="http://schemas.openxmlformats.org/markup-compatibility/2006">
          <mc:Choice Requires="x14">
            <control shapeId="17808" r:id="rId84" name="Check Box 400">
              <controlPr defaultSize="0" autoFill="0" autoLine="0" autoPict="0">
                <anchor moveWithCells="1">
                  <from>
                    <xdr:col>2</xdr:col>
                    <xdr:colOff>1781175</xdr:colOff>
                    <xdr:row>8</xdr:row>
                    <xdr:rowOff>9525</xdr:rowOff>
                  </from>
                  <to>
                    <xdr:col>2</xdr:col>
                    <xdr:colOff>2581275</xdr:colOff>
                    <xdr:row>8</xdr:row>
                    <xdr:rowOff>600075</xdr:rowOff>
                  </to>
                </anchor>
              </controlPr>
            </control>
          </mc:Choice>
        </mc:AlternateContent>
        <mc:AlternateContent xmlns:mc="http://schemas.openxmlformats.org/markup-compatibility/2006">
          <mc:Choice Requires="x14">
            <control shapeId="17812" r:id="rId85" name="Check Box 404">
              <controlPr defaultSize="0" autoFill="0" autoLine="0" autoPict="0" altText="Annually">
                <anchor moveWithCells="1">
                  <from>
                    <xdr:col>2</xdr:col>
                    <xdr:colOff>666750</xdr:colOff>
                    <xdr:row>10</xdr:row>
                    <xdr:rowOff>9525</xdr:rowOff>
                  </from>
                  <to>
                    <xdr:col>2</xdr:col>
                    <xdr:colOff>1562100</xdr:colOff>
                    <xdr:row>10</xdr:row>
                    <xdr:rowOff>495300</xdr:rowOff>
                  </to>
                </anchor>
              </controlPr>
            </control>
          </mc:Choice>
        </mc:AlternateContent>
        <mc:AlternateContent xmlns:mc="http://schemas.openxmlformats.org/markup-compatibility/2006">
          <mc:Choice Requires="x14">
            <control shapeId="17813" r:id="rId86" name="Check Box 405">
              <controlPr defaultSize="0" autoFill="0" autoLine="0" autoPict="0">
                <anchor moveWithCells="1">
                  <from>
                    <xdr:col>2</xdr:col>
                    <xdr:colOff>1581150</xdr:colOff>
                    <xdr:row>10</xdr:row>
                    <xdr:rowOff>9525</xdr:rowOff>
                  </from>
                  <to>
                    <xdr:col>2</xdr:col>
                    <xdr:colOff>2476500</xdr:colOff>
                    <xdr:row>10</xdr:row>
                    <xdr:rowOff>495300</xdr:rowOff>
                  </to>
                </anchor>
              </controlPr>
            </control>
          </mc:Choice>
        </mc:AlternateContent>
        <mc:AlternateContent xmlns:mc="http://schemas.openxmlformats.org/markup-compatibility/2006">
          <mc:Choice Requires="x14">
            <control shapeId="17801" r:id="rId87" name="Check Box 393">
              <controlPr defaultSize="0" autoFill="0" autoLine="0" autoPict="0">
                <anchor moveWithCells="1">
                  <from>
                    <xdr:col>2</xdr:col>
                    <xdr:colOff>723900</xdr:colOff>
                    <xdr:row>109</xdr:row>
                    <xdr:rowOff>9525</xdr:rowOff>
                  </from>
                  <to>
                    <xdr:col>2</xdr:col>
                    <xdr:colOff>1352550</xdr:colOff>
                    <xdr:row>110</xdr:row>
                    <xdr:rowOff>0</xdr:rowOff>
                  </to>
                </anchor>
              </controlPr>
            </control>
          </mc:Choice>
        </mc:AlternateContent>
        <mc:AlternateContent xmlns:mc="http://schemas.openxmlformats.org/markup-compatibility/2006">
          <mc:Choice Requires="x14">
            <control shapeId="17802" r:id="rId88" name="Check Box 394">
              <controlPr defaultSize="0" autoFill="0" autoLine="0" autoPict="0">
                <anchor moveWithCells="1">
                  <from>
                    <xdr:col>2</xdr:col>
                    <xdr:colOff>1466850</xdr:colOff>
                    <xdr:row>109</xdr:row>
                    <xdr:rowOff>9525</xdr:rowOff>
                  </from>
                  <to>
                    <xdr:col>2</xdr:col>
                    <xdr:colOff>2095500</xdr:colOff>
                    <xdr:row>110</xdr:row>
                    <xdr:rowOff>0</xdr:rowOff>
                  </to>
                </anchor>
              </controlPr>
            </control>
          </mc:Choice>
        </mc:AlternateContent>
        <mc:AlternateContent xmlns:mc="http://schemas.openxmlformats.org/markup-compatibility/2006">
          <mc:Choice Requires="x14">
            <control shapeId="17818" r:id="rId89" name="Check Box 410">
              <controlPr defaultSize="0" autoFill="0" autoLine="0" autoPict="0">
                <anchor moveWithCells="1">
                  <from>
                    <xdr:col>2</xdr:col>
                    <xdr:colOff>723900</xdr:colOff>
                    <xdr:row>68</xdr:row>
                    <xdr:rowOff>9525</xdr:rowOff>
                  </from>
                  <to>
                    <xdr:col>2</xdr:col>
                    <xdr:colOff>1352550</xdr:colOff>
                    <xdr:row>69</xdr:row>
                    <xdr:rowOff>0</xdr:rowOff>
                  </to>
                </anchor>
              </controlPr>
            </control>
          </mc:Choice>
        </mc:AlternateContent>
        <mc:AlternateContent xmlns:mc="http://schemas.openxmlformats.org/markup-compatibility/2006">
          <mc:Choice Requires="x14">
            <control shapeId="17819" r:id="rId90" name="Check Box 411">
              <controlPr defaultSize="0" autoFill="0" autoLine="0" autoPict="0">
                <anchor moveWithCells="1">
                  <from>
                    <xdr:col>2</xdr:col>
                    <xdr:colOff>1466850</xdr:colOff>
                    <xdr:row>68</xdr:row>
                    <xdr:rowOff>9525</xdr:rowOff>
                  </from>
                  <to>
                    <xdr:col>2</xdr:col>
                    <xdr:colOff>2095500</xdr:colOff>
                    <xdr:row>69</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autoPageBreaks="0"/>
  </sheetPr>
  <dimension ref="A1:AL130"/>
  <sheetViews>
    <sheetView showGridLines="0" showRowColHeaders="0" zoomScaleNormal="100" workbookViewId="0">
      <pane ySplit="6" topLeftCell="A7" activePane="bottomLeft" state="frozen"/>
      <selection pane="bottomLeft" activeCell="D9" sqref="D9"/>
    </sheetView>
  </sheetViews>
  <sheetFormatPr defaultColWidth="9.140625" defaultRowHeight="14.25" x14ac:dyDescent="0.2"/>
  <cols>
    <col min="1" max="1" width="9.140625" style="1"/>
    <col min="2" max="2" width="60.7109375" style="1" customWidth="1"/>
    <col min="3" max="4" width="40.7109375" style="1" customWidth="1"/>
    <col min="5" max="5" width="35.7109375" style="1" customWidth="1"/>
    <col min="6" max="6" width="25.7109375" style="1" customWidth="1"/>
    <col min="7" max="7" width="40.28515625" style="1" customWidth="1"/>
    <col min="8" max="8" width="9.140625" style="11" customWidth="1"/>
    <col min="9" max="11" width="9.140625" style="1" customWidth="1"/>
    <col min="12" max="12" width="14.85546875" style="1" hidden="1" customWidth="1"/>
    <col min="13" max="13" width="9.7109375" style="36" hidden="1" customWidth="1"/>
    <col min="14" max="14" width="11.5703125" style="1" hidden="1" customWidth="1"/>
    <col min="15" max="15" width="20" style="1" hidden="1" customWidth="1"/>
    <col min="16" max="16" width="13.140625" style="1" hidden="1" customWidth="1"/>
    <col min="17" max="38" width="9.140625" style="1" hidden="1" customWidth="1"/>
    <col min="39" max="16384" width="9.140625" style="1"/>
  </cols>
  <sheetData>
    <row r="1" spans="2:13" ht="12.75" customHeight="1" x14ac:dyDescent="0.2">
      <c r="H1" s="19"/>
    </row>
    <row r="2" spans="2:13" ht="12.75" customHeight="1" x14ac:dyDescent="0.2">
      <c r="H2" s="19"/>
    </row>
    <row r="3" spans="2:13" ht="12.75" customHeight="1" x14ac:dyDescent="0.2">
      <c r="H3" s="19"/>
    </row>
    <row r="4" spans="2:13" ht="12.75" customHeight="1" x14ac:dyDescent="0.2">
      <c r="H4" s="19"/>
    </row>
    <row r="5" spans="2:13" ht="12.75" customHeight="1" x14ac:dyDescent="0.2">
      <c r="H5" s="19"/>
    </row>
    <row r="6" spans="2:13" ht="12.75" customHeight="1" x14ac:dyDescent="0.2">
      <c r="H6" s="19"/>
    </row>
    <row r="7" spans="2:13" ht="15" thickBot="1" x14ac:dyDescent="0.25">
      <c r="H7" s="19"/>
    </row>
    <row r="8" spans="2:13" ht="32.1" customHeight="1" thickBot="1" x14ac:dyDescent="0.25">
      <c r="B8" s="613" t="s">
        <v>448</v>
      </c>
      <c r="C8" s="614" t="s">
        <v>2</v>
      </c>
      <c r="D8" s="615" t="s">
        <v>20</v>
      </c>
      <c r="H8" s="19"/>
    </row>
    <row r="9" spans="2:13" ht="24" customHeight="1" x14ac:dyDescent="0.2">
      <c r="B9" s="816" t="s">
        <v>841</v>
      </c>
      <c r="C9" s="267" t="s">
        <v>21</v>
      </c>
      <c r="D9" s="268"/>
      <c r="E9" s="102" t="str">
        <f>IF(M9=1,"*","")</f>
        <v>*</v>
      </c>
      <c r="F9" s="69"/>
      <c r="H9" s="19"/>
      <c r="M9" s="36">
        <f>IF(ISNUMBER(D9)=TRUE,0,1)</f>
        <v>1</v>
      </c>
    </row>
    <row r="10" spans="2:13" ht="24" customHeight="1" x14ac:dyDescent="0.2">
      <c r="B10" s="817"/>
      <c r="C10" s="263" t="s">
        <v>22</v>
      </c>
      <c r="D10" s="264"/>
      <c r="E10" s="102" t="str">
        <f t="shared" ref="E10:E14" si="0">IF(M10=1,"*","")</f>
        <v>*</v>
      </c>
      <c r="H10" s="19"/>
      <c r="M10" s="36">
        <f>IF(ISNUMBER(D10)=TRUE,0,1)</f>
        <v>1</v>
      </c>
    </row>
    <row r="11" spans="2:13" ht="24" customHeight="1" x14ac:dyDescent="0.2">
      <c r="B11" s="817"/>
      <c r="C11" s="263" t="s">
        <v>23</v>
      </c>
      <c r="D11" s="264"/>
      <c r="E11" s="102" t="str">
        <f t="shared" si="0"/>
        <v>*</v>
      </c>
      <c r="H11" s="19"/>
      <c r="M11" s="36">
        <f>IF(ISNUMBER(D11)=TRUE,0,1)</f>
        <v>1</v>
      </c>
    </row>
    <row r="12" spans="2:13" ht="24" customHeight="1" x14ac:dyDescent="0.2">
      <c r="B12" s="817"/>
      <c r="C12" s="263" t="s">
        <v>24</v>
      </c>
      <c r="D12" s="264"/>
      <c r="E12" s="102" t="str">
        <f t="shared" si="0"/>
        <v>*</v>
      </c>
      <c r="H12" s="19"/>
      <c r="M12" s="36">
        <f>IF(ISNUMBER(D12)=TRUE,0,1)</f>
        <v>1</v>
      </c>
    </row>
    <row r="13" spans="2:13" ht="24" customHeight="1" x14ac:dyDescent="0.2">
      <c r="B13" s="817"/>
      <c r="C13" s="263" t="s">
        <v>25</v>
      </c>
      <c r="D13" s="264"/>
      <c r="E13" s="102" t="str">
        <f t="shared" si="0"/>
        <v>*</v>
      </c>
      <c r="H13" s="19"/>
      <c r="M13" s="36">
        <f>IF(ISNUMBER(D13)=TRUE,0,1)</f>
        <v>1</v>
      </c>
    </row>
    <row r="14" spans="2:13" ht="24" customHeight="1" thickBot="1" x14ac:dyDescent="0.25">
      <c r="B14" s="818"/>
      <c r="C14" s="265" t="s">
        <v>26</v>
      </c>
      <c r="D14" s="266">
        <f>D9+D10+D11+D12+D13</f>
        <v>0</v>
      </c>
      <c r="E14" s="102" t="str">
        <f t="shared" si="0"/>
        <v>*</v>
      </c>
      <c r="H14" s="19"/>
      <c r="M14" s="36">
        <f>IF(SUM(D9:D13)&lt;&gt;0,0,1)</f>
        <v>1</v>
      </c>
    </row>
    <row r="15" spans="2:13" ht="15.95" customHeight="1" x14ac:dyDescent="0.2">
      <c r="B15" s="20"/>
      <c r="D15" s="16" t="str">
        <f>IF(ISNUMBER(D9+D10+D11+D12+D13)=TRUE,"","Please enter numeric values only")</f>
        <v/>
      </c>
      <c r="E15" s="16"/>
      <c r="F15" s="16"/>
      <c r="H15" s="19"/>
    </row>
    <row r="16" spans="2:13" ht="15.95" customHeight="1" x14ac:dyDescent="0.2">
      <c r="D16" s="409" t="str">
        <f>IF(COUNTIF(D9:D13,0)=5,"Please ensure that the Total Number of Services is greater than Zero","")</f>
        <v/>
      </c>
      <c r="H16" s="19"/>
      <c r="L16" s="69" t="s">
        <v>667</v>
      </c>
      <c r="M16" s="38" t="str">
        <f>IF(SUM(M9:M13)&lt;&gt;0,"Invalid","Valid")</f>
        <v>Invalid</v>
      </c>
    </row>
    <row r="17" spans="2:15" ht="15.95" customHeight="1" thickBot="1" x14ac:dyDescent="0.25">
      <c r="B17" s="35"/>
      <c r="H17" s="19"/>
    </row>
    <row r="18" spans="2:15" ht="32.1" customHeight="1" thickBot="1" x14ac:dyDescent="0.25">
      <c r="B18" s="602" t="s">
        <v>558</v>
      </c>
      <c r="C18" s="616" t="s">
        <v>2</v>
      </c>
      <c r="D18" s="598" t="s">
        <v>27</v>
      </c>
      <c r="E18" s="599" t="s">
        <v>28</v>
      </c>
      <c r="G18" s="11"/>
      <c r="H18" s="19"/>
    </row>
    <row r="19" spans="2:15" s="36" customFormat="1" ht="24" customHeight="1" x14ac:dyDescent="0.2">
      <c r="B19" s="778" t="s">
        <v>685</v>
      </c>
      <c r="C19" s="267" t="s">
        <v>29</v>
      </c>
      <c r="D19" s="273"/>
      <c r="E19" s="274"/>
      <c r="F19" s="102" t="str">
        <f>IF(M19=1,"*","")</f>
        <v>*</v>
      </c>
      <c r="G19" s="107" t="str">
        <f>IF(E19&gt;D19,"Please ensure that the number of PEPs does not exceed the number of customers","")</f>
        <v/>
      </c>
      <c r="H19" s="19"/>
      <c r="M19" s="36">
        <f>IF(SUM(IF(ISNUMBER(D19)=TRUE,0,1)+IF(ISNUMBER(E19)=TRUE,0,1))&lt;&gt;0,1,0)</f>
        <v>1</v>
      </c>
    </row>
    <row r="20" spans="2:15" s="36" customFormat="1" ht="24" customHeight="1" x14ac:dyDescent="0.2">
      <c r="B20" s="779"/>
      <c r="C20" s="263" t="s">
        <v>22</v>
      </c>
      <c r="D20" s="269"/>
      <c r="E20" s="270"/>
      <c r="F20" s="102" t="str">
        <f t="shared" ref="F20:F24" si="1">IF(M20=1,"*","")</f>
        <v>*</v>
      </c>
      <c r="G20" s="107" t="str">
        <f>IF(E20&gt;D20,"Please ensure that the number of PEPs does not exceed the number of customers","")</f>
        <v/>
      </c>
      <c r="H20" s="19"/>
      <c r="M20" s="36">
        <f>IF(SUM(IF(ISNUMBER(D20)=TRUE,0,1)+IF(ISNUMBER(E20)=TRUE,0,1))&lt;&gt;0,1,0)</f>
        <v>1</v>
      </c>
    </row>
    <row r="21" spans="2:15" s="36" customFormat="1" ht="24" customHeight="1" x14ac:dyDescent="0.2">
      <c r="B21" s="779"/>
      <c r="C21" s="263" t="s">
        <v>23</v>
      </c>
      <c r="D21" s="269"/>
      <c r="E21" s="270"/>
      <c r="F21" s="102" t="str">
        <f t="shared" si="1"/>
        <v>*</v>
      </c>
      <c r="G21" s="107" t="str">
        <f>IF(E21&gt;D21,"Please ensure that the number of PEPs does not exceed the number of customers","")</f>
        <v/>
      </c>
      <c r="H21" s="19"/>
      <c r="M21" s="36">
        <f>IF(SUM(IF(ISNUMBER(D21)=TRUE,0,1)+IF(ISNUMBER(E21)=TRUE,0,1))&lt;&gt;0,1,0)</f>
        <v>1</v>
      </c>
    </row>
    <row r="22" spans="2:15" s="36" customFormat="1" ht="24" customHeight="1" x14ac:dyDescent="0.2">
      <c r="B22" s="779"/>
      <c r="C22" s="263" t="s">
        <v>24</v>
      </c>
      <c r="D22" s="269"/>
      <c r="E22" s="270"/>
      <c r="F22" s="102" t="str">
        <f t="shared" si="1"/>
        <v>*</v>
      </c>
      <c r="G22" s="107" t="str">
        <f>IF(E22&gt;D22,"Please ensure that the number of PEPs does not exceed the number of customers","")</f>
        <v/>
      </c>
      <c r="H22" s="19"/>
      <c r="M22" s="36">
        <f>IF(SUM(IF(ISNUMBER(D22)=TRUE,0,1)+IF(ISNUMBER(E22)=TRUE,0,1))&lt;&gt;0,1,0)</f>
        <v>1</v>
      </c>
    </row>
    <row r="23" spans="2:15" s="36" customFormat="1" ht="24" customHeight="1" x14ac:dyDescent="0.2">
      <c r="B23" s="779"/>
      <c r="C23" s="263" t="s">
        <v>25</v>
      </c>
      <c r="D23" s="269"/>
      <c r="E23" s="270"/>
      <c r="F23" s="102" t="str">
        <f t="shared" si="1"/>
        <v>*</v>
      </c>
      <c r="G23" s="107" t="str">
        <f>IF(E23&gt;D23,"Please ensure that the number of PEPs does not exceed the number of customers","")</f>
        <v/>
      </c>
      <c r="H23" s="19"/>
      <c r="M23" s="36">
        <f>IF(SUM(IF(ISNUMBER(D23)=TRUE,0,1)+IF(ISNUMBER(E23)=TRUE,0,1))&lt;&gt;0,1,0)</f>
        <v>1</v>
      </c>
    </row>
    <row r="24" spans="2:15" s="36" customFormat="1" ht="24" customHeight="1" thickBot="1" x14ac:dyDescent="0.25">
      <c r="B24" s="780"/>
      <c r="C24" s="271" t="s">
        <v>26</v>
      </c>
      <c r="D24" s="272">
        <f>SUM(D19:D23)</f>
        <v>0</v>
      </c>
      <c r="E24" s="338">
        <f>E19+E20+E21+E22+E23</f>
        <v>0</v>
      </c>
      <c r="F24" s="102" t="str">
        <f t="shared" si="1"/>
        <v>*</v>
      </c>
      <c r="H24" s="19"/>
      <c r="M24" s="36">
        <f>IF(SUM(D19:D23)&lt;&gt;0,0,1)</f>
        <v>1</v>
      </c>
    </row>
    <row r="25" spans="2:15" ht="15.95" customHeight="1" x14ac:dyDescent="0.2">
      <c r="B25" s="20"/>
      <c r="D25" s="16" t="str">
        <f>IF(ISNUMBER(D19+D20+D21+D22+D23)=TRUE,"","Please enter numeric values only")</f>
        <v/>
      </c>
      <c r="E25" s="16" t="str">
        <f>IF(ISNUMBER(E19+E20+E21+E22+E23)=TRUE,"","Please enter numeric values only")</f>
        <v/>
      </c>
      <c r="F25" s="16"/>
      <c r="H25" s="19"/>
    </row>
    <row r="26" spans="2:15" ht="15.95" customHeight="1" x14ac:dyDescent="0.2">
      <c r="B26" s="20"/>
      <c r="D26" s="409" t="str">
        <f>IF(COUNTIF(D19:D23,0)=5,"Please ensure that the Total Number of Customers is greater than Zero","")</f>
        <v/>
      </c>
      <c r="E26" s="16"/>
      <c r="F26" s="16"/>
      <c r="H26" s="19"/>
    </row>
    <row r="27" spans="2:15" ht="15.95" customHeight="1" thickBot="1" x14ac:dyDescent="0.25">
      <c r="B27" s="20"/>
      <c r="H27" s="19"/>
    </row>
    <row r="28" spans="2:15" ht="32.1" customHeight="1" thickBot="1" x14ac:dyDescent="0.25">
      <c r="B28" s="278"/>
      <c r="C28" s="601" t="s">
        <v>30</v>
      </c>
      <c r="D28" s="599" t="s">
        <v>27</v>
      </c>
      <c r="H28" s="19"/>
    </row>
    <row r="29" spans="2:15" ht="24" customHeight="1" x14ac:dyDescent="0.2">
      <c r="B29" s="699" t="s">
        <v>628</v>
      </c>
      <c r="C29" s="188"/>
      <c r="D29" s="274"/>
      <c r="E29" s="102" t="str">
        <f>IF(M29=1,"*","")</f>
        <v>*</v>
      </c>
      <c r="H29" s="19"/>
      <c r="M29" s="36">
        <f>N29</f>
        <v>1</v>
      </c>
      <c r="N29" s="36">
        <f>IF(SUM(IF(ISTEXT(C29)=TRUE,0,1)+IF(ISNUMBER(D29)=TRUE,0,1))&lt;&gt;0,1,0)</f>
        <v>1</v>
      </c>
    </row>
    <row r="30" spans="2:15" ht="24" customHeight="1" x14ac:dyDescent="0.2">
      <c r="B30" s="679"/>
      <c r="C30" s="172"/>
      <c r="D30" s="270"/>
      <c r="E30" s="102" t="str">
        <f t="shared" ref="E30:E39" si="2">IF(M30=1,"*","")</f>
        <v/>
      </c>
      <c r="H30" s="19"/>
      <c r="M30" s="36">
        <f>IF(O30=0,0,N30+O30)</f>
        <v>0</v>
      </c>
      <c r="N30" s="36">
        <f t="shared" ref="N30" si="3">IF(SUM(IF(ISTEXT(C30)=TRUE,0,1)+IF(ISNUMBER(D30)=TRUE,0,1))&lt;&gt;0,1,0)</f>
        <v>1</v>
      </c>
      <c r="O30" s="36">
        <f>IF(COUNTIF(C30:D30,"")&lt;&gt;2,IF(COUNTA(C30:D30)&lt;&gt;2,1,0),0)+IF(COUNTA(C30:D30)=0,IF(COUNTA(C31:D38)&lt;&gt;0,1,0))</f>
        <v>0</v>
      </c>
    </row>
    <row r="31" spans="2:15" ht="24" customHeight="1" x14ac:dyDescent="0.2">
      <c r="B31" s="679"/>
      <c r="C31" s="172"/>
      <c r="D31" s="270"/>
      <c r="E31" s="102" t="str">
        <f t="shared" si="2"/>
        <v/>
      </c>
      <c r="H31" s="19"/>
      <c r="M31" s="36">
        <f t="shared" ref="M31:M38" si="4">IF(O31=0,0,N31+O31)</f>
        <v>0</v>
      </c>
      <c r="N31" s="36">
        <f t="shared" ref="N31:N38" si="5">IF(SUM(IF(ISTEXT(C31)=TRUE,0,1)+IF(ISNUMBER(D31)=TRUE,0,1))&lt;&gt;0,1,0)</f>
        <v>1</v>
      </c>
      <c r="O31" s="36">
        <f>IF(COUNTIF(C31:D31,"")&lt;&gt;2,IF(COUNTA(C31:D31)&lt;&gt;2,1,0),0)+IF(COUNTA(C31:D31)=0,IF(COUNTA(C32:D38)&lt;&gt;0,1,0))</f>
        <v>0</v>
      </c>
    </row>
    <row r="32" spans="2:15" ht="24" customHeight="1" x14ac:dyDescent="0.2">
      <c r="B32" s="679"/>
      <c r="C32" s="172"/>
      <c r="D32" s="270"/>
      <c r="E32" s="102" t="str">
        <f t="shared" si="2"/>
        <v/>
      </c>
      <c r="H32" s="19"/>
      <c r="M32" s="36">
        <f t="shared" si="4"/>
        <v>0</v>
      </c>
      <c r="N32" s="36">
        <f t="shared" si="5"/>
        <v>1</v>
      </c>
      <c r="O32" s="36">
        <f>IF(COUNTIF(C32:D32,"")&lt;&gt;2,IF(COUNTA(C32:D32)&lt;&gt;2,1,0),0)+IF(COUNTA(C32:D32)=0,IF(COUNTA(C33:D38)&lt;&gt;0,1,0))</f>
        <v>0</v>
      </c>
    </row>
    <row r="33" spans="2:16" ht="24" customHeight="1" x14ac:dyDescent="0.2">
      <c r="B33" s="679"/>
      <c r="C33" s="172"/>
      <c r="D33" s="270"/>
      <c r="E33" s="102" t="str">
        <f t="shared" si="2"/>
        <v/>
      </c>
      <c r="H33" s="19"/>
      <c r="M33" s="36">
        <f t="shared" si="4"/>
        <v>0</v>
      </c>
      <c r="N33" s="36">
        <f t="shared" si="5"/>
        <v>1</v>
      </c>
      <c r="O33" s="36">
        <f>IF(COUNTIF(C33:D33,"")&lt;&gt;2,IF(COUNTA(C33:D33)&lt;&gt;2,1,0),0)+IF(COUNTA(C33:D33)=0,IF(COUNTA(C34:D38)&lt;&gt;0,1,0))</f>
        <v>0</v>
      </c>
    </row>
    <row r="34" spans="2:16" ht="24" customHeight="1" x14ac:dyDescent="0.2">
      <c r="B34" s="679"/>
      <c r="C34" s="172"/>
      <c r="D34" s="270"/>
      <c r="E34" s="102" t="str">
        <f t="shared" si="2"/>
        <v/>
      </c>
      <c r="H34" s="19"/>
      <c r="M34" s="36">
        <f t="shared" si="4"/>
        <v>0</v>
      </c>
      <c r="N34" s="36">
        <f t="shared" si="5"/>
        <v>1</v>
      </c>
      <c r="O34" s="36">
        <f>IF(COUNTIF(C34:D34,"")&lt;&gt;2,IF(COUNTA(C34:D34)&lt;&gt;2,1,0),0)+IF(COUNTA(C34:D34)=0,IF(COUNTA(C35:D38)&lt;&gt;0,1,0))</f>
        <v>0</v>
      </c>
    </row>
    <row r="35" spans="2:16" ht="24" customHeight="1" x14ac:dyDescent="0.2">
      <c r="B35" s="679"/>
      <c r="C35" s="172"/>
      <c r="D35" s="270"/>
      <c r="E35" s="102" t="str">
        <f t="shared" si="2"/>
        <v/>
      </c>
      <c r="H35" s="19"/>
      <c r="M35" s="36">
        <f t="shared" si="4"/>
        <v>0</v>
      </c>
      <c r="N35" s="36">
        <f t="shared" si="5"/>
        <v>1</v>
      </c>
      <c r="O35" s="36">
        <f>IF(COUNTIF(C35:D35,"")&lt;&gt;2,IF(COUNTA(C35:D35)&lt;&gt;2,1,0),0)+IF(COUNTA(C35:D35)=0,IF(COUNTA(C36:D38)&lt;&gt;0,1,0))</f>
        <v>0</v>
      </c>
    </row>
    <row r="36" spans="2:16" ht="24" customHeight="1" x14ac:dyDescent="0.2">
      <c r="B36" s="679"/>
      <c r="C36" s="172"/>
      <c r="D36" s="270"/>
      <c r="E36" s="102" t="str">
        <f t="shared" si="2"/>
        <v/>
      </c>
      <c r="H36" s="19"/>
      <c r="M36" s="36">
        <f t="shared" si="4"/>
        <v>0</v>
      </c>
      <c r="N36" s="36">
        <f t="shared" si="5"/>
        <v>1</v>
      </c>
      <c r="O36" s="36">
        <f>IF(COUNTIF(C36:D36,"")&lt;&gt;2,IF(COUNTA(C36:D36)&lt;&gt;2,1,0),0)+IF(COUNTA(C36:D36)=0,IF(COUNTA(C37:D38)&lt;&gt;0,1,0))</f>
        <v>0</v>
      </c>
    </row>
    <row r="37" spans="2:16" ht="24" customHeight="1" x14ac:dyDescent="0.2">
      <c r="B37" s="679"/>
      <c r="C37" s="172"/>
      <c r="D37" s="270"/>
      <c r="E37" s="102" t="str">
        <f t="shared" si="2"/>
        <v/>
      </c>
      <c r="H37" s="19"/>
      <c r="M37" s="36">
        <f t="shared" si="4"/>
        <v>0</v>
      </c>
      <c r="N37" s="36">
        <f t="shared" si="5"/>
        <v>1</v>
      </c>
      <c r="O37" s="36">
        <f>IF(COUNTIF(C37:D37,"")&lt;&gt;2,IF(COUNTA(C37:D37)&lt;&gt;2,1,0),0)+IF(COUNTA(C37:D37)=0,IF(COUNTA(C38:D38)&lt;&gt;0,1,0))</f>
        <v>0</v>
      </c>
    </row>
    <row r="38" spans="2:16" ht="24" customHeight="1" x14ac:dyDescent="0.2">
      <c r="B38" s="679"/>
      <c r="C38" s="172"/>
      <c r="D38" s="270"/>
      <c r="E38" s="102" t="str">
        <f t="shared" si="2"/>
        <v/>
      </c>
      <c r="H38" s="19"/>
      <c r="M38" s="36">
        <f t="shared" si="4"/>
        <v>0</v>
      </c>
      <c r="N38" s="36">
        <f t="shared" si="5"/>
        <v>1</v>
      </c>
      <c r="O38" s="36">
        <v>0</v>
      </c>
    </row>
    <row r="39" spans="2:16" ht="24" customHeight="1" thickBot="1" x14ac:dyDescent="0.25">
      <c r="B39" s="275" t="s">
        <v>553</v>
      </c>
      <c r="C39" s="276"/>
      <c r="D39" s="277">
        <f>SUM(D29:D38)</f>
        <v>0</v>
      </c>
      <c r="E39" s="102" t="str">
        <f t="shared" si="2"/>
        <v/>
      </c>
      <c r="H39" s="19"/>
      <c r="M39" s="36">
        <f>IF(D24&lt;&gt;D39,1,0)</f>
        <v>0</v>
      </c>
    </row>
    <row r="40" spans="2:16" ht="15.95" customHeight="1" x14ac:dyDescent="0.2">
      <c r="H40" s="19"/>
    </row>
    <row r="41" spans="2:16" ht="15.95" customHeight="1" x14ac:dyDescent="0.2">
      <c r="B41" s="227" t="str">
        <f>IF(D39=0,"",IF(SUM(D24-D39)&lt;&gt;0,"Please ensure that the Number of Customers matches the number of customers in the Customer Exposure table",""))</f>
        <v/>
      </c>
      <c r="C41" s="225"/>
      <c r="D41" s="225"/>
      <c r="H41" s="19"/>
      <c r="L41" s="69" t="s">
        <v>667</v>
      </c>
      <c r="M41" s="38" t="str">
        <f>IF(SUM(M19:M39)&lt;&gt;0,"Invalid","Valid")</f>
        <v>Invalid</v>
      </c>
    </row>
    <row r="42" spans="2:16" ht="15.95" customHeight="1" thickBot="1" x14ac:dyDescent="0.25">
      <c r="H42" s="19"/>
    </row>
    <row r="43" spans="2:16" ht="32.1" customHeight="1" x14ac:dyDescent="0.2">
      <c r="B43" s="786" t="s">
        <v>596</v>
      </c>
      <c r="C43" s="788"/>
      <c r="H43" s="19"/>
    </row>
    <row r="44" spans="2:16" ht="32.1" customHeight="1" thickBot="1" x14ac:dyDescent="0.25">
      <c r="B44" s="281"/>
      <c r="C44" s="604" t="s">
        <v>450</v>
      </c>
      <c r="H44" s="19"/>
    </row>
    <row r="45" spans="2:16" ht="32.1" customHeight="1" x14ac:dyDescent="0.2">
      <c r="B45" s="255" t="s">
        <v>629</v>
      </c>
      <c r="C45" s="280" t="str">
        <f>IF((N45&amp;" "&amp;O45)="TRUE TRUE","Please select only one option","")</f>
        <v/>
      </c>
      <c r="D45" s="102" t="str">
        <f>IF(M45=1,"*","")</f>
        <v>*</v>
      </c>
      <c r="H45" s="19"/>
      <c r="M45" s="36">
        <f>IF((N45&amp;" "&amp;O45)="FALSE FALSE",1,IF((N45&amp;" "&amp;O45)="TRUE FALSE",0,IF((N45&amp;" "&amp;O45)="FALSE TRUE",0,IF((N45&amp;" "&amp;O45)="TRUE TRUE",1,0))))</f>
        <v>1</v>
      </c>
      <c r="N45" s="79" t="b">
        <v>0</v>
      </c>
      <c r="O45" s="79" t="b">
        <v>0</v>
      </c>
      <c r="P45" s="36" t="str">
        <f>IF((N45&amp;" "&amp;O45)="TRUE FALSE","Yes",IF((N45&amp;" "&amp;O45)="FALSE TRUE","No",""))</f>
        <v/>
      </c>
    </row>
    <row r="46" spans="2:16" ht="32.1" customHeight="1" x14ac:dyDescent="0.2">
      <c r="B46" s="131" t="s">
        <v>673</v>
      </c>
      <c r="C46" s="279" t="str">
        <f>IF((N46&amp;" "&amp;O46)="TRUE TRUE","Please select only one option","")</f>
        <v/>
      </c>
      <c r="D46" s="102" t="str">
        <f>IF(M46=1,"*","")</f>
        <v>*</v>
      </c>
      <c r="H46" s="19"/>
      <c r="M46" s="36">
        <f>IF(P45="No",0,IF((N46&amp;" "&amp;O46)="FALSE FALSE",1,IF((N46&amp;" "&amp;O46)="TRUE FALSE",0,IF((N46&amp;" "&amp;O46)="FALSE TRUE",0,IF((N46&amp;" "&amp;O46)="TRUE TRUE",1,0)))))</f>
        <v>1</v>
      </c>
      <c r="N46" s="79" t="b">
        <v>0</v>
      </c>
      <c r="O46" s="79" t="b">
        <v>0</v>
      </c>
      <c r="P46" s="11" t="str">
        <f>IF((N46&amp;" "&amp;O46)="TRUE FALSE","Automated",IF((N46&amp;" "&amp;O46)="FALSE TRUE","Manual",""))</f>
        <v/>
      </c>
    </row>
    <row r="47" spans="2:16" ht="32.1" customHeight="1" thickBot="1" x14ac:dyDescent="0.25">
      <c r="B47" s="253" t="s">
        <v>557</v>
      </c>
      <c r="C47" s="236"/>
      <c r="D47" s="102" t="str">
        <f>IF(M47=1,"*","")</f>
        <v>*</v>
      </c>
      <c r="H47" s="19"/>
      <c r="M47" s="36">
        <f>IF(P45="No",0,IF(ISBLANK(C47),1,IF(ISERROR(EXACT(VLOOKUP(C47,Frequency,1,FALSE),C47)),1,0)))</f>
        <v>1</v>
      </c>
      <c r="N47" s="11"/>
      <c r="O47" s="11"/>
    </row>
    <row r="48" spans="2:16" ht="15.95" customHeight="1" x14ac:dyDescent="0.2">
      <c r="H48" s="19"/>
    </row>
    <row r="49" spans="1:16" ht="15.95" customHeight="1" thickBot="1" x14ac:dyDescent="0.25">
      <c r="B49" s="815" t="str">
        <f>IF(P45="No","Please outline why your firm does not conduct Financial Screening","If ‘Other’ is selected please provide the frequency for Financial Sanctions Screening")</f>
        <v>If ‘Other’ is selected please provide the frequency for Financial Sanctions Screening</v>
      </c>
      <c r="C49" s="815"/>
      <c r="D49" s="74"/>
      <c r="H49" s="19"/>
    </row>
    <row r="50" spans="1:16" ht="32.1" customHeight="1" x14ac:dyDescent="0.2">
      <c r="B50" s="793"/>
      <c r="C50" s="795"/>
      <c r="D50" s="782" t="str">
        <f>IF(M50=1,"*","")</f>
        <v/>
      </c>
      <c r="H50" s="19"/>
      <c r="M50" s="36">
        <f>IF(C47="Other (Please state below)",IF(ISBLANK(B50)=TRUE,1,0),0)++IF(P45="No",IF(ISBLANK(B59)=TRUE,1,0),0)</f>
        <v>0</v>
      </c>
      <c r="N50" s="36">
        <f>IF(P45="No",IF(ISBLANK(B50)=TRUE,1,0),0)</f>
        <v>0</v>
      </c>
    </row>
    <row r="51" spans="1:16" ht="32.1" customHeight="1" thickBot="1" x14ac:dyDescent="0.25">
      <c r="B51" s="796"/>
      <c r="C51" s="798"/>
      <c r="D51" s="782"/>
      <c r="H51" s="19"/>
    </row>
    <row r="52" spans="1:16" ht="15.95" customHeight="1" thickBot="1" x14ac:dyDescent="0.25">
      <c r="H52" s="19"/>
    </row>
    <row r="53" spans="1:16" ht="32.1" customHeight="1" thickBot="1" x14ac:dyDescent="0.25">
      <c r="A53" s="99"/>
      <c r="B53" s="204"/>
      <c r="C53" s="599" t="s">
        <v>31</v>
      </c>
      <c r="H53" s="19"/>
    </row>
    <row r="54" spans="1:16" ht="32.1" customHeight="1" x14ac:dyDescent="0.2">
      <c r="B54" s="255" t="s">
        <v>630</v>
      </c>
      <c r="C54" s="300" t="str">
        <f>IF((N54&amp;" "&amp;O54)="TRUE TRUE","Please select only one option","")</f>
        <v/>
      </c>
      <c r="D54" s="102" t="str">
        <f>IF(M54=1,"*","")</f>
        <v>*</v>
      </c>
      <c r="H54" s="19"/>
      <c r="M54" s="36">
        <f>IF((N54&amp;" "&amp;O54)="FALSE FALSE",1,IF((N54&amp;" "&amp;O54)="TRUE FALSE",0,IF((N54&amp;" "&amp;O54)="FALSE TRUE",0,IF((N54&amp;" "&amp;O54)="TRUE TRUE",1,0))))</f>
        <v>1</v>
      </c>
      <c r="N54" s="79" t="b">
        <v>0</v>
      </c>
      <c r="O54" s="79" t="b">
        <v>0</v>
      </c>
      <c r="P54" s="36" t="str">
        <f>IF((N54&amp;" "&amp;O54)="TRUE FALSE","Yes",IF((N54&amp;" "&amp;O54)="FALSE TRUE","No",""))</f>
        <v/>
      </c>
    </row>
    <row r="55" spans="1:16" ht="32.1" customHeight="1" x14ac:dyDescent="0.2">
      <c r="B55" s="131" t="s">
        <v>673</v>
      </c>
      <c r="C55" s="299" t="str">
        <f>IF((N55&amp;" "&amp;O55)="TRUE TRUE","Please select only one option","")</f>
        <v/>
      </c>
      <c r="D55" s="102" t="str">
        <f>IF(M55=1,"*","")</f>
        <v>*</v>
      </c>
      <c r="H55" s="19"/>
      <c r="M55" s="36">
        <f>IF(P54="No",0,IF((N55&amp;" "&amp;O55)="FALSE FALSE",1,IF((N55&amp;" "&amp;O55)="TRUE FALSE",0,IF((N55&amp;" "&amp;O55)="FALSE TRUE",0,IF((N55&amp;" "&amp;O55)="TRUE TRUE",1,0)))))</f>
        <v>1</v>
      </c>
      <c r="N55" s="79" t="b">
        <v>0</v>
      </c>
      <c r="O55" s="79" t="b">
        <v>0</v>
      </c>
      <c r="P55" s="11" t="str">
        <f>IF((N55&amp;" "&amp;O55)="TRUE FALSE","Automated",IF((N55&amp;" "&amp;O55)="FALSE TRUE","Manual",""))</f>
        <v/>
      </c>
    </row>
    <row r="56" spans="1:16" ht="32.1" customHeight="1" thickBot="1" x14ac:dyDescent="0.25">
      <c r="B56" s="253" t="s">
        <v>557</v>
      </c>
      <c r="C56" s="236"/>
      <c r="D56" s="102" t="str">
        <f>IF(M56=1,"*","")</f>
        <v>*</v>
      </c>
      <c r="H56" s="19"/>
      <c r="M56" s="36">
        <f>IF(P54="No",0,IF(ISBLANK(C56),1,IF(ISERROR(EXACT(VLOOKUP(C56,Frequency,1,FALSE),C56)),1,0)))</f>
        <v>1</v>
      </c>
      <c r="N56" s="36">
        <f>IF(P54="No",IF(ISBLANK(B59)=TRUE,1,0),0)</f>
        <v>0</v>
      </c>
      <c r="O56" s="11"/>
    </row>
    <row r="57" spans="1:16" ht="15.95" customHeight="1" x14ac:dyDescent="0.2">
      <c r="H57" s="19"/>
    </row>
    <row r="58" spans="1:16" ht="15.95" customHeight="1" thickBot="1" x14ac:dyDescent="0.25">
      <c r="B58" s="815" t="str">
        <f>IF(P54="No","Please outline why your firm does not conduct PEP screening","If ‘Other’ is selected please provide the frequency for PEP screening")</f>
        <v>If ‘Other’ is selected please provide the frequency for PEP screening</v>
      </c>
      <c r="C58" s="815"/>
      <c r="D58" s="74"/>
      <c r="H58" s="19"/>
    </row>
    <row r="59" spans="1:16" ht="32.1" customHeight="1" x14ac:dyDescent="0.2">
      <c r="B59" s="793"/>
      <c r="C59" s="795"/>
      <c r="D59" s="782" t="str">
        <f>IF(M59=1,"*","")</f>
        <v/>
      </c>
      <c r="H59" s="19"/>
      <c r="M59" s="36">
        <f>IF(C56="Other (Please state below)",IF(ISBLANK(B59)=TRUE,1,0),0)+IF(P54="No",IF(ISBLANK(B59)=TRUE,1,0),0)</f>
        <v>0</v>
      </c>
    </row>
    <row r="60" spans="1:16" ht="32.1" customHeight="1" thickBot="1" x14ac:dyDescent="0.25">
      <c r="B60" s="796"/>
      <c r="C60" s="798"/>
      <c r="D60" s="782"/>
      <c r="H60" s="19"/>
    </row>
    <row r="61" spans="1:16" ht="15.95" customHeight="1" x14ac:dyDescent="0.2">
      <c r="H61" s="19"/>
    </row>
    <row r="62" spans="1:16" ht="15.95" customHeight="1" x14ac:dyDescent="0.2">
      <c r="H62" s="19"/>
      <c r="L62" s="69" t="s">
        <v>667</v>
      </c>
      <c r="M62" s="38" t="str">
        <f>IF(SUM(M45:M59)&lt;&gt;0,"Invalid","Valid")</f>
        <v>Invalid</v>
      </c>
    </row>
    <row r="63" spans="1:16" ht="15.95" customHeight="1" thickBot="1" x14ac:dyDescent="0.25">
      <c r="H63" s="19"/>
    </row>
    <row r="64" spans="1:16" ht="24" customHeight="1" x14ac:dyDescent="0.2">
      <c r="B64" s="786" t="s">
        <v>564</v>
      </c>
      <c r="C64" s="787"/>
      <c r="D64" s="788"/>
      <c r="H64" s="19"/>
    </row>
    <row r="65" spans="2:17" ht="24" customHeight="1" x14ac:dyDescent="0.2">
      <c r="B65" s="617" t="s">
        <v>631</v>
      </c>
      <c r="C65" s="297"/>
      <c r="D65" s="298"/>
      <c r="H65" s="19"/>
    </row>
    <row r="66" spans="2:17" ht="26.25" customHeight="1" thickBot="1" x14ac:dyDescent="0.25">
      <c r="B66" s="618" t="s">
        <v>32</v>
      </c>
      <c r="C66" s="603" t="s">
        <v>353</v>
      </c>
      <c r="D66" s="604" t="s">
        <v>352</v>
      </c>
      <c r="H66" s="19"/>
      <c r="M66" s="36">
        <f>IF(COUNTIF(N66:O66,"TRUE")=1,0,1)</f>
        <v>1</v>
      </c>
      <c r="N66" s="79" t="b">
        <v>0</v>
      </c>
      <c r="O66" s="79" t="b">
        <v>0</v>
      </c>
      <c r="P66" s="36">
        <f>IF((N66&amp;" "&amp;O66)="FALSE FALSE",1,IF((N66&amp;" "&amp;O66)="TRUE FALSE","Yes",IF((N66&amp;" "&amp;O66)="FALSE TRUE","No","Invaild Input")))</f>
        <v>1</v>
      </c>
    </row>
    <row r="67" spans="2:17" ht="42" customHeight="1" thickBot="1" x14ac:dyDescent="0.25">
      <c r="B67" s="295" t="str">
        <f>IF(P66="Invalid Input","Please select only one option","")</f>
        <v/>
      </c>
      <c r="C67" s="296" t="str">
        <f>IF(P66="Invalid Input","Please select only one option","")</f>
        <v/>
      </c>
      <c r="D67" s="105" t="str">
        <f>IF(P68="Invalid Input","Please select only one option","")</f>
        <v/>
      </c>
      <c r="E67" s="103" t="str">
        <f>IF(O69="Invalid Input","*","")</f>
        <v>*</v>
      </c>
      <c r="F67" s="85"/>
      <c r="H67" s="19"/>
      <c r="M67" s="36">
        <f>IF(COUNTIF(N67:O67,"TRUE")=1,0,1)</f>
        <v>1</v>
      </c>
      <c r="N67" s="79" t="b">
        <v>0</v>
      </c>
      <c r="O67" s="79" t="b">
        <v>0</v>
      </c>
      <c r="P67" s="36">
        <f>IF((N67&amp;" "&amp;O67)="FALSE FALSE",1,IF((N67&amp;" "&amp;O67)="TRUE FALSE","Yes",IF((N67&amp;" "&amp;O67)="FALSE TRUE","No","Invaild Input")))</f>
        <v>1</v>
      </c>
    </row>
    <row r="68" spans="2:17" ht="15.95" customHeight="1" x14ac:dyDescent="0.2">
      <c r="B68" s="814" t="str">
        <f>IF(O69="Invalid Input","Only one value should be 'Yes', remaining non relevant fields should be populated with 'No'.","")</f>
        <v>Only one value should be 'Yes', remaining non relevant fields should be populated with 'No'.</v>
      </c>
      <c r="C68" s="814"/>
      <c r="D68" s="814"/>
      <c r="H68" s="19"/>
      <c r="M68" s="36">
        <f>IF(COUNTIF(N68:O68,"TRUE")=1,0,1)</f>
        <v>1</v>
      </c>
      <c r="N68" s="79" t="b">
        <v>0</v>
      </c>
      <c r="O68" s="79" t="b">
        <v>0</v>
      </c>
      <c r="P68" s="36">
        <f>IF((N68&amp;" "&amp;O68)="FALSE FALSE",1,IF((N68&amp;" "&amp;O68)="TRUE FALSE","Yes",IF((N68&amp;" "&amp;O68)="FALSE TRUE","No","Invaild Input")))</f>
        <v>1</v>
      </c>
    </row>
    <row r="69" spans="2:17" ht="15.95" customHeight="1" thickBot="1" x14ac:dyDescent="0.25">
      <c r="B69" s="20"/>
      <c r="H69" s="19"/>
      <c r="M69" s="1"/>
      <c r="O69" s="11" t="str">
        <f>IF((P66&amp;" "&amp;P67&amp;" "&amp;P68)="Yes No No","Ireland Only",IF((P66&amp;" "&amp;P67&amp;" "&amp;P68)="No Yes No","Country_EU",IF((P66&amp;" "&amp;P67&amp;" "&amp;P68)="No No Yes","Country_All","Invalid Input")))</f>
        <v>Invalid Input</v>
      </c>
      <c r="P69" s="36">
        <f>IF(O69="Invalid Input",1,0)</f>
        <v>1</v>
      </c>
      <c r="Q69" s="11">
        <f>IF(O69="Country_EU",1,IF(O69="Country_All",2,0))</f>
        <v>0</v>
      </c>
    </row>
    <row r="70" spans="2:17" ht="24" customHeight="1" thickBot="1" x14ac:dyDescent="0.25">
      <c r="B70" s="294"/>
      <c r="C70" s="598" t="s">
        <v>33</v>
      </c>
      <c r="D70" s="598" t="s">
        <v>34</v>
      </c>
      <c r="E70" s="599" t="s">
        <v>597</v>
      </c>
      <c r="H70" s="19"/>
      <c r="M70" s="1" t="s">
        <v>756</v>
      </c>
      <c r="N70" s="1" t="s">
        <v>676</v>
      </c>
      <c r="O70" s="1" t="s">
        <v>695</v>
      </c>
      <c r="P70" s="1" t="s">
        <v>677</v>
      </c>
      <c r="Q70" s="1" t="s">
        <v>552</v>
      </c>
    </row>
    <row r="71" spans="2:17" ht="24" customHeight="1" x14ac:dyDescent="0.2">
      <c r="B71" s="699" t="s">
        <v>632</v>
      </c>
      <c r="C71" s="190">
        <v>1</v>
      </c>
      <c r="D71" s="292"/>
      <c r="E71" s="293"/>
      <c r="F71" s="102" t="str">
        <f>IF(M71=1,"*","")</f>
        <v>*</v>
      </c>
      <c r="H71" s="19"/>
      <c r="M71" s="286">
        <f>IF(SUM(N71+O71+P71+Q71)&gt;0,1,0)</f>
        <v>1</v>
      </c>
      <c r="N71" s="36">
        <f>IF(O69&lt;&gt;"Ireland Only",IF(ISBLANK(D71)=TRUE,1,0),0)</f>
        <v>1</v>
      </c>
      <c r="O71" s="36">
        <f>IF(Q69=0,0,IF($Q$69=1,IF(ISERROR(EXACT(VLOOKUP(D71,country_EU,1,FALSE),D71)),1,0),IF($Q$69=2,IF(ISERROR(EXACT(VLOOKUP(D71,country_all,1,FALSE),D71)),1,0))))</f>
        <v>0</v>
      </c>
      <c r="P71" s="36">
        <f>IF(O69&lt;&gt;"Ireland Only",IF(ISNUMBER(E71)=FALSE,1,0),0)</f>
        <v>1</v>
      </c>
      <c r="Q71" s="1">
        <f>IF(COUNTIF($D$71:$D$75,D71)&gt;1,1,0)</f>
        <v>0</v>
      </c>
    </row>
    <row r="72" spans="2:17" ht="24" customHeight="1" x14ac:dyDescent="0.2">
      <c r="B72" s="679"/>
      <c r="C72" s="283">
        <v>2</v>
      </c>
      <c r="D72" s="288"/>
      <c r="E72" s="289"/>
      <c r="F72" s="102" t="str">
        <f t="shared" ref="F72:F75" si="6">IF(M72=1,"*","")</f>
        <v/>
      </c>
      <c r="H72" s="19"/>
      <c r="M72" s="286">
        <f>IF(COUNTIF(D72:E72,"")&lt;&gt;2,IF(SUM(N72+O72+P72+Q72)&gt;0,1,0),0)</f>
        <v>0</v>
      </c>
      <c r="N72" s="36">
        <f>IF(O69&lt;&gt;"Ireland Only",IF(ISBLANK(D72)=TRUE,1,0),0)</f>
        <v>1</v>
      </c>
      <c r="O72" s="36">
        <f>IF(Q69=0,0,IF($Q$69=1,IF(ISERROR(EXACT(VLOOKUP(D72,country_EU,1,FALSE),D72)),1,0),IF($Q$69=2,IF(ISERROR(EXACT(VLOOKUP(D72,country_all,1,FALSE),D72)),1,0))))</f>
        <v>0</v>
      </c>
      <c r="P72" s="36">
        <f>IF(O69&lt;&gt;"Ireland Only",IF(ISNUMBER(E72)=FALSE,1,0),0)</f>
        <v>1</v>
      </c>
      <c r="Q72" s="1">
        <f>IF(COUNTIF($D$71:$D$75,D72)&gt;1,1,0)</f>
        <v>0</v>
      </c>
    </row>
    <row r="73" spans="2:17" ht="24" customHeight="1" x14ac:dyDescent="0.2">
      <c r="B73" s="679"/>
      <c r="C73" s="283">
        <v>3</v>
      </c>
      <c r="D73" s="288"/>
      <c r="E73" s="289"/>
      <c r="F73" s="102" t="str">
        <f t="shared" si="6"/>
        <v/>
      </c>
      <c r="H73" s="19"/>
      <c r="M73" s="286">
        <f>IF(COUNTIF(D73:E73,"")&lt;&gt;2,IF(SUM(N73+O73+P73+Q73)&gt;0,1,0),0)</f>
        <v>0</v>
      </c>
      <c r="N73" s="36">
        <f>IF(O69&lt;&gt;"Ireland Only",IF(ISBLANK(D73)=TRUE,1,0),0)</f>
        <v>1</v>
      </c>
      <c r="O73" s="36">
        <f>IF(Q69=0,0,IF($Q$69=1,IF(ISERROR(EXACT(VLOOKUP(D73,country_EU,1,FALSE),D73)),1,0),IF($Q$69=2,IF(ISERROR(EXACT(VLOOKUP(D73,country_all,1,FALSE),D73)),1,0))))</f>
        <v>0</v>
      </c>
      <c r="P73" s="36">
        <f>IF(O69&lt;&gt;"Ireland Only",IF(ISNUMBER(E73)=FALSE,1,0),0)</f>
        <v>1</v>
      </c>
      <c r="Q73" s="1">
        <f>IF(COUNTIF($D$71:$D$75,D73)&gt;1,1,0)</f>
        <v>0</v>
      </c>
    </row>
    <row r="74" spans="2:17" ht="24" customHeight="1" x14ac:dyDescent="0.2">
      <c r="B74" s="679"/>
      <c r="C74" s="283">
        <v>4</v>
      </c>
      <c r="D74" s="288"/>
      <c r="E74" s="289"/>
      <c r="F74" s="102" t="str">
        <f t="shared" si="6"/>
        <v/>
      </c>
      <c r="H74" s="19"/>
      <c r="M74" s="286">
        <f>IF(COUNTIF(D74:E74,"")&lt;&gt;2,IF(SUM(N74+O74+P74+Q74)&gt;0,1,0),0)</f>
        <v>0</v>
      </c>
      <c r="N74" s="36">
        <f>IF(O69&lt;&gt;"Ireland Only",IF(ISBLANK(D74)=TRUE,1,0),0)</f>
        <v>1</v>
      </c>
      <c r="O74" s="36">
        <f>IF(Q69=0,0,IF($Q$69=1,IF(ISERROR(EXACT(VLOOKUP(D74,country_EU,1,FALSE),D74)),1,0),IF($Q$69=2,IF(ISERROR(EXACT(VLOOKUP(D74,country_all,1,FALSE),D74)),1,0))))</f>
        <v>0</v>
      </c>
      <c r="P74" s="36">
        <f>IF(O69&lt;&gt;"Ireland Only",IF(ISNUMBER(E74)=FALSE,1,0),0)</f>
        <v>1</v>
      </c>
      <c r="Q74" s="1">
        <f>IF(COUNTIF($D$71:$D$75,D74)&gt;1,1,0)</f>
        <v>0</v>
      </c>
    </row>
    <row r="75" spans="2:17" ht="24" customHeight="1" thickBot="1" x14ac:dyDescent="0.25">
      <c r="B75" s="784"/>
      <c r="C75" s="179">
        <v>5</v>
      </c>
      <c r="D75" s="290"/>
      <c r="E75" s="291"/>
      <c r="F75" s="102" t="str">
        <f t="shared" si="6"/>
        <v/>
      </c>
      <c r="H75" s="19"/>
      <c r="M75" s="286">
        <f>IF(COUNTIF(D75:E75,"")&lt;&gt;2,IF(SUM(N75+O75+P75+Q75)&gt;0,1,0),0)</f>
        <v>0</v>
      </c>
      <c r="N75" s="36">
        <f>IF(O69&lt;&gt;"Ireland Only",IF(ISBLANK(D75)=TRUE,1,0),0)</f>
        <v>1</v>
      </c>
      <c r="O75" s="36">
        <f>IF(Q69=0,0,IF($Q$69=1,IF(ISERROR(EXACT(VLOOKUP(D75,country_EU,1,FALSE),D75)),1,0),IF($Q$69=2,IF(ISERROR(EXACT(VLOOKUP(D75,country_all,1,FALSE),D75)),1,0))))</f>
        <v>0</v>
      </c>
      <c r="P75" s="36">
        <f>IF(O69&lt;&gt;"Ireland Only",IF(ISNUMBER(E75)=FALSE,1,0),0)</f>
        <v>1</v>
      </c>
      <c r="Q75" s="1">
        <f>IF(COUNTIF($D$71:$D$75,D75)&gt;1,1,0)</f>
        <v>0</v>
      </c>
    </row>
    <row r="76" spans="2:17" ht="15.95" customHeight="1" x14ac:dyDescent="0.2">
      <c r="H76" s="19"/>
      <c r="M76" s="1"/>
    </row>
    <row r="77" spans="2:17" ht="15.95" customHeight="1" x14ac:dyDescent="0.2">
      <c r="E77" s="38" t="str">
        <f>IF(SUM(E71:E75)&gt;1,"Values exceed 100%","")</f>
        <v/>
      </c>
      <c r="H77" s="19"/>
      <c r="L77" s="69" t="s">
        <v>667</v>
      </c>
      <c r="M77" s="38" t="str">
        <f>IF(SUM(M66:M68,M71:M75)&lt;&gt;0,"Invalid","Valid")</f>
        <v>Invalid</v>
      </c>
    </row>
    <row r="78" spans="2:17" ht="15.95" customHeight="1" thickBot="1" x14ac:dyDescent="0.25">
      <c r="H78" s="19"/>
    </row>
    <row r="79" spans="2:17" ht="42" customHeight="1" x14ac:dyDescent="0.2">
      <c r="B79" s="786" t="s">
        <v>565</v>
      </c>
      <c r="C79" s="787"/>
      <c r="D79" s="787"/>
      <c r="E79" s="788"/>
      <c r="H79" s="19"/>
    </row>
    <row r="80" spans="2:17" ht="32.1" customHeight="1" thickBot="1" x14ac:dyDescent="0.25">
      <c r="B80" s="287"/>
      <c r="C80" s="785" t="s">
        <v>35</v>
      </c>
      <c r="D80" s="785"/>
      <c r="E80" s="604" t="s">
        <v>36</v>
      </c>
      <c r="H80" s="19"/>
    </row>
    <row r="81" spans="2:16" ht="63.95" customHeight="1" x14ac:dyDescent="0.2">
      <c r="B81" s="699" t="s">
        <v>633</v>
      </c>
      <c r="C81" s="718" t="s">
        <v>634</v>
      </c>
      <c r="D81" s="718"/>
      <c r="E81" s="234"/>
      <c r="F81" s="102" t="str">
        <f>Control!AU3</f>
        <v>*</v>
      </c>
      <c r="H81" s="19"/>
      <c r="M81" s="36">
        <f>IF(F81="*",1,0)</f>
        <v>1</v>
      </c>
    </row>
    <row r="82" spans="2:16" ht="80.099999999999994" customHeight="1" x14ac:dyDescent="0.2">
      <c r="B82" s="679"/>
      <c r="C82" s="680" t="s">
        <v>635</v>
      </c>
      <c r="D82" s="680"/>
      <c r="E82" s="235"/>
      <c r="F82" s="102" t="str">
        <f>Control!AU4</f>
        <v>*</v>
      </c>
      <c r="H82" s="19"/>
      <c r="M82" s="36">
        <f>IF(F82="*",1,0)</f>
        <v>1</v>
      </c>
    </row>
    <row r="83" spans="2:16" ht="63.95" customHeight="1" x14ac:dyDescent="0.2">
      <c r="B83" s="679"/>
      <c r="C83" s="680" t="s">
        <v>546</v>
      </c>
      <c r="D83" s="680"/>
      <c r="E83" s="235"/>
      <c r="F83" s="102" t="str">
        <f>Control!AU5</f>
        <v>*</v>
      </c>
      <c r="H83" s="19"/>
      <c r="M83" s="36">
        <f>IF(F83="*",1,0)</f>
        <v>1</v>
      </c>
    </row>
    <row r="84" spans="2:16" ht="63.95" customHeight="1" x14ac:dyDescent="0.2">
      <c r="B84" s="679"/>
      <c r="C84" s="680" t="s">
        <v>636</v>
      </c>
      <c r="D84" s="680"/>
      <c r="E84" s="235"/>
      <c r="F84" s="102" t="str">
        <f>Control!AU6</f>
        <v>*</v>
      </c>
      <c r="H84" s="19"/>
      <c r="M84" s="36">
        <f>IF(F84="*",1,0)</f>
        <v>1</v>
      </c>
    </row>
    <row r="85" spans="2:16" ht="63.95" customHeight="1" thickBot="1" x14ac:dyDescent="0.25">
      <c r="B85" s="784"/>
      <c r="C85" s="783" t="s">
        <v>547</v>
      </c>
      <c r="D85" s="783"/>
      <c r="E85" s="236"/>
      <c r="F85" s="102" t="str">
        <f>Control!AU7</f>
        <v>*</v>
      </c>
      <c r="H85" s="19"/>
      <c r="M85" s="36">
        <f>IF(F85="*",1,0)</f>
        <v>1</v>
      </c>
    </row>
    <row r="86" spans="2:16" ht="15.95" customHeight="1" x14ac:dyDescent="0.2">
      <c r="B86" s="20"/>
      <c r="H86" s="19"/>
    </row>
    <row r="87" spans="2:16" ht="15.95" customHeight="1" x14ac:dyDescent="0.2">
      <c r="B87" s="20"/>
      <c r="D87" s="412"/>
      <c r="E87" s="407" t="str">
        <f>IF(COUNTIF(E81:E85,"N/A")=5,"Please select at least one distribution channel, all answers cannot be N/A","")</f>
        <v/>
      </c>
      <c r="H87" s="19"/>
      <c r="M87" s="36">
        <f>IF(COUNTIF(E81:E85,"N/A")=5,1,0)</f>
        <v>0</v>
      </c>
    </row>
    <row r="88" spans="2:16" ht="15.95" customHeight="1" thickBot="1" x14ac:dyDescent="0.25">
      <c r="B88" s="282" t="s">
        <v>600</v>
      </c>
      <c r="H88" s="19"/>
    </row>
    <row r="89" spans="2:16" ht="32.1" customHeight="1" x14ac:dyDescent="0.2">
      <c r="B89" s="793"/>
      <c r="C89" s="794"/>
      <c r="D89" s="794"/>
      <c r="E89" s="795"/>
      <c r="F89" s="782" t="str">
        <f>IF(E85="","",IF(E85&lt;&gt;"N/A",IF(ISTEXT(B89)=TRUE,"","*"),""))</f>
        <v/>
      </c>
      <c r="H89" s="19"/>
      <c r="M89" s="36">
        <f>IF(F89="*",1,0)</f>
        <v>0</v>
      </c>
    </row>
    <row r="90" spans="2:16" ht="32.1" customHeight="1" thickBot="1" x14ac:dyDescent="0.25">
      <c r="B90" s="796"/>
      <c r="C90" s="797"/>
      <c r="D90" s="797"/>
      <c r="E90" s="798"/>
      <c r="F90" s="782"/>
      <c r="H90" s="19"/>
    </row>
    <row r="91" spans="2:16" x14ac:dyDescent="0.2">
      <c r="H91" s="19"/>
    </row>
    <row r="92" spans="2:16" x14ac:dyDescent="0.2">
      <c r="H92" s="19"/>
      <c r="L92" s="69" t="s">
        <v>667</v>
      </c>
      <c r="M92" s="38" t="str">
        <f>IF(SUM(M81:M89)&lt;&gt;0,"Invalid","Valid")</f>
        <v>Invalid</v>
      </c>
    </row>
    <row r="93" spans="2:16" ht="15" thickBot="1" x14ac:dyDescent="0.25">
      <c r="B93" s="39"/>
      <c r="H93" s="19"/>
    </row>
    <row r="94" spans="2:16" ht="39.950000000000003" customHeight="1" x14ac:dyDescent="0.2">
      <c r="B94" s="786" t="s">
        <v>598</v>
      </c>
      <c r="C94" s="787"/>
      <c r="D94" s="787"/>
      <c r="E94" s="788"/>
      <c r="H94" s="19"/>
    </row>
    <row r="95" spans="2:16" ht="39.950000000000003" customHeight="1" thickBot="1" x14ac:dyDescent="0.25">
      <c r="B95" s="619" t="s">
        <v>702</v>
      </c>
      <c r="C95" s="595"/>
      <c r="D95" s="603" t="s">
        <v>699</v>
      </c>
      <c r="E95" s="604" t="s">
        <v>700</v>
      </c>
      <c r="H95" s="19"/>
    </row>
    <row r="96" spans="2:16" ht="32.1" customHeight="1" x14ac:dyDescent="0.2">
      <c r="B96" s="435" t="s">
        <v>690</v>
      </c>
      <c r="C96" s="410" t="str">
        <f>IF((N96&amp;" "&amp;O96)="TRUE TRUE","Please select only one option","")</f>
        <v/>
      </c>
      <c r="D96" s="197"/>
      <c r="E96" s="198"/>
      <c r="F96" s="102" t="str">
        <f>IF(M96&lt;&gt;0,"*","")</f>
        <v>*</v>
      </c>
      <c r="H96" s="19"/>
      <c r="M96" s="36">
        <f>IF((N96&amp;" "&amp;O96)="FALSE FALSE",1,IF((N96&amp;" "&amp;O96)="TRUE FALSE",0,IF((N96&amp;" "&amp;O96)="FALSE TRUE",0,IF((N96&amp;" "&amp;O96)="TRUE TRUE",1,0))))+IF(P96="Yes",IF(ISNUMBER(D96)=TRUE,0,1))+IF(P96="Yes",IF(ISNUMBER(E96)=TRUE,0,1))</f>
        <v>1</v>
      </c>
      <c r="N96" s="79" t="b">
        <v>0</v>
      </c>
      <c r="O96" s="79" t="b">
        <v>0</v>
      </c>
      <c r="P96" s="11" t="str">
        <f>IF((N96&amp;" "&amp;O96)="TRUE FALSE","Yes",IF((N96&amp;" "&amp;O96)="FALSE TRUE","No","0"))</f>
        <v>0</v>
      </c>
    </row>
    <row r="97" spans="2:17" ht="32.1" customHeight="1" thickBot="1" x14ac:dyDescent="0.25">
      <c r="B97" s="436" t="s">
        <v>691</v>
      </c>
      <c r="C97" s="411" t="str">
        <f>IF((N97&amp;" "&amp;O97)="TRUE TRUE","Please select only one option","")</f>
        <v/>
      </c>
      <c r="D97" s="304"/>
      <c r="E97" s="405"/>
      <c r="F97" s="102" t="str">
        <f>IF(M97&lt;&gt;0,"*","")</f>
        <v>*</v>
      </c>
      <c r="H97" s="19"/>
      <c r="M97" s="36">
        <f>IF((N97&amp;" "&amp;O97)="FALSE FALSE",1,IF((N97&amp;" "&amp;O97)="TRUE FALSE",0,IF((N97&amp;" "&amp;O97)="FALSE TRUE",0,IF((N97&amp;" "&amp;O97)="TRUE TRUE",1,0))))+IF(P97="Yes",IF(ISNUMBER(D97)=TRUE,0,1))+IF(P97="Yes",IF(ISNUMBER(E97)=TRUE,0,1))</f>
        <v>1</v>
      </c>
      <c r="N97" s="79" t="b">
        <v>0</v>
      </c>
      <c r="O97" s="79" t="b">
        <v>0</v>
      </c>
      <c r="P97" s="11" t="str">
        <f>IF((N97&amp;" "&amp;O97)="TRUE FALSE","Yes",IF((N97&amp;" "&amp;O97)="FALSE TRUE","No","0"))</f>
        <v>0</v>
      </c>
    </row>
    <row r="98" spans="2:17" ht="15.95" customHeight="1" thickBot="1" x14ac:dyDescent="0.25">
      <c r="B98" s="423"/>
      <c r="C98" s="423"/>
      <c r="D98" s="102"/>
      <c r="H98" s="19"/>
      <c r="P98" s="1" t="str">
        <f>IF(COUNTIF(P96:P97,0)=2,"",IF(COUNTIF(P96:P97,"Yes")&lt;&gt;0,"Yes","No"))</f>
        <v/>
      </c>
    </row>
    <row r="99" spans="2:17" ht="39.950000000000003" customHeight="1" thickBot="1" x14ac:dyDescent="0.25">
      <c r="B99" s="620" t="s">
        <v>690</v>
      </c>
      <c r="C99" s="598" t="s">
        <v>33</v>
      </c>
      <c r="D99" s="598" t="s">
        <v>34</v>
      </c>
      <c r="E99" s="599" t="s">
        <v>696</v>
      </c>
      <c r="H99" s="19"/>
      <c r="N99" s="1" t="s">
        <v>695</v>
      </c>
      <c r="O99" s="1" t="s">
        <v>552</v>
      </c>
      <c r="P99" s="1" t="s">
        <v>703</v>
      </c>
      <c r="Q99" s="1" t="s">
        <v>698</v>
      </c>
    </row>
    <row r="100" spans="2:17" ht="24" customHeight="1" x14ac:dyDescent="0.2">
      <c r="B100" s="699" t="s">
        <v>704</v>
      </c>
      <c r="C100" s="190">
        <v>1</v>
      </c>
      <c r="D100" s="292"/>
      <c r="E100" s="274"/>
      <c r="F100" s="102" t="str">
        <f>IF(M100=1,"*","")</f>
        <v/>
      </c>
      <c r="H100" s="19"/>
      <c r="M100" s="36">
        <f>IF(D96&gt;=1,IF(SUM(N100:P100)&lt;&gt;0,1,0),0)</f>
        <v>0</v>
      </c>
      <c r="N100" s="36">
        <f>IF(P96="Yes",IF(ISERROR(EXACT(VLOOKUP(D100,country_all,1,FALSE),D100)),1,0),0)</f>
        <v>0</v>
      </c>
      <c r="O100" s="36">
        <f>IF(P96="Yes",IF(COUNTIF($D$100:$D$104,D100)&lt;&gt;1,1,0),0)</f>
        <v>0</v>
      </c>
      <c r="P100" s="36">
        <f>IF(P96="Yes",IF(D96&gt;=1,IF(ISNUMBER(E100)=FALSE,1,0),0),0)</f>
        <v>0</v>
      </c>
      <c r="Q100" s="36" t="str">
        <f>IF(D96="","",IF(D96&gt;=1,0,1))</f>
        <v/>
      </c>
    </row>
    <row r="101" spans="2:17" ht="24" customHeight="1" x14ac:dyDescent="0.2">
      <c r="B101" s="679"/>
      <c r="C101" s="283">
        <v>2</v>
      </c>
      <c r="D101" s="288"/>
      <c r="E101" s="270"/>
      <c r="F101" s="102" t="str">
        <f>IF(M101=1,"*","")</f>
        <v/>
      </c>
      <c r="H101" s="19"/>
      <c r="M101" s="36">
        <f>IF(D96&gt;=2,IF(SUM(N101:P101)&lt;&gt;0,1,0),0)</f>
        <v>0</v>
      </c>
      <c r="N101" s="36">
        <f>IF(P96="Yes",IF(ISERROR(EXACT(VLOOKUP(D101,country_all,1,FALSE),D101)),1,0),0)</f>
        <v>0</v>
      </c>
      <c r="O101" s="36">
        <f>IF(P96="Yes",IF(COUNTIF($D$100:$D$104,D101)&lt;&gt;1,1,0),0)</f>
        <v>0</v>
      </c>
      <c r="P101" s="36">
        <f>IF(P96="Yes",IF(D96&gt;=2,IF(ISNUMBER(E101)=FALSE,1,0),0),0)</f>
        <v>0</v>
      </c>
      <c r="Q101" s="36" t="str">
        <f>IF(D96="","",IF(D96&gt;=2,0,1))</f>
        <v/>
      </c>
    </row>
    <row r="102" spans="2:17" ht="24" customHeight="1" x14ac:dyDescent="0.2">
      <c r="B102" s="679"/>
      <c r="C102" s="283">
        <v>3</v>
      </c>
      <c r="D102" s="288"/>
      <c r="E102" s="270"/>
      <c r="F102" s="102" t="str">
        <f>IF(M102=1,"*","")</f>
        <v/>
      </c>
      <c r="H102" s="19"/>
      <c r="M102" s="36">
        <f>IF(D96&gt;=3,IF(SUM(N102:P102)&lt;&gt;0,1,0),0)</f>
        <v>0</v>
      </c>
      <c r="N102" s="36">
        <f>IF(P96="Yes",IF(ISERROR(EXACT(VLOOKUP(D102,country_all,1,FALSE),D102)),1,0),0)</f>
        <v>0</v>
      </c>
      <c r="O102" s="36">
        <f>IF(P96="Yes",IF(COUNTIF($D$100:$D$104,D102)&lt;&gt;1,1,0),0)</f>
        <v>0</v>
      </c>
      <c r="P102" s="36">
        <f>IF(P97="Yes",IF(D96&gt;=3,IF(ISNUMBER(E102)=FALSE,1,0),0),0)</f>
        <v>0</v>
      </c>
      <c r="Q102" s="36" t="str">
        <f>IF(D96="","",IF(D96&gt;=3,0,1))</f>
        <v/>
      </c>
    </row>
    <row r="103" spans="2:17" ht="24" customHeight="1" x14ac:dyDescent="0.2">
      <c r="B103" s="679"/>
      <c r="C103" s="283">
        <v>4</v>
      </c>
      <c r="D103" s="288"/>
      <c r="E103" s="270"/>
      <c r="F103" s="102" t="str">
        <f>IF(M103=1,"*","")</f>
        <v/>
      </c>
      <c r="H103" s="19"/>
      <c r="M103" s="36">
        <f>IF(D96&gt;=4,IF(SUM(N103:P103)&lt;&gt;0,1,0),0)</f>
        <v>0</v>
      </c>
      <c r="N103" s="36">
        <f>IF(P96="Yes",IF(ISERROR(EXACT(VLOOKUP(D103,country_all,1,FALSE),D103)),1,0),0)</f>
        <v>0</v>
      </c>
      <c r="O103" s="36">
        <f>IF(P96="Yes",IF(COUNTIF($D$100:$D$104,D103)&lt;&gt;1,1,0),0)</f>
        <v>0</v>
      </c>
      <c r="P103" s="36">
        <f>IF(P96="Yes",IF(D96&gt;=4,IF(ISNUMBER(E103)=FALSE,1,0),0),0)</f>
        <v>0</v>
      </c>
      <c r="Q103" s="36" t="str">
        <f>IF(D96="","",IF(D96&gt;=4,0,1))</f>
        <v/>
      </c>
    </row>
    <row r="104" spans="2:17" ht="24" customHeight="1" thickBot="1" x14ac:dyDescent="0.25">
      <c r="B104" s="784"/>
      <c r="C104" s="179">
        <v>5</v>
      </c>
      <c r="D104" s="290"/>
      <c r="E104" s="406"/>
      <c r="F104" s="102" t="str">
        <f>IF(M104=1,"*","")</f>
        <v/>
      </c>
      <c r="H104" s="19"/>
      <c r="M104" s="36">
        <f>IF(D96&gt;=5,IF(SUM(N104:P104)&lt;&gt;0,1,0),0)</f>
        <v>0</v>
      </c>
      <c r="N104" s="36">
        <f>IF(P96="Yes",IF(ISERROR(EXACT(VLOOKUP(D104,country_all,1,FALSE),D104)),1,0),0)</f>
        <v>0</v>
      </c>
      <c r="O104" s="36">
        <f>IF(P96="Yes",IF(COUNTIF($D$100:$D$104,D104)&lt;&gt;1,1,0),0)</f>
        <v>0</v>
      </c>
      <c r="P104" s="36">
        <f>IF(P96="Yes",IF(D96&gt;=5,IF(ISNUMBER(E104)=FALSE,1,0),0),0)</f>
        <v>0</v>
      </c>
      <c r="Q104" s="36" t="str">
        <f>IF(D96="","",IF(D96&gt;=5,0,1))</f>
        <v/>
      </c>
    </row>
    <row r="105" spans="2:17" ht="15.95" customHeight="1" thickBot="1" x14ac:dyDescent="0.25">
      <c r="H105" s="19"/>
    </row>
    <row r="106" spans="2:17" ht="39.950000000000003" customHeight="1" thickBot="1" x14ac:dyDescent="0.25">
      <c r="B106" s="620" t="s">
        <v>691</v>
      </c>
      <c r="C106" s="598" t="s">
        <v>33</v>
      </c>
      <c r="D106" s="598" t="s">
        <v>34</v>
      </c>
      <c r="E106" s="599" t="s">
        <v>697</v>
      </c>
      <c r="H106" s="19"/>
      <c r="N106" s="1" t="s">
        <v>695</v>
      </c>
      <c r="O106" s="1" t="s">
        <v>552</v>
      </c>
      <c r="P106" s="1" t="s">
        <v>703</v>
      </c>
      <c r="Q106" s="1" t="s">
        <v>698</v>
      </c>
    </row>
    <row r="107" spans="2:17" ht="24" customHeight="1" x14ac:dyDescent="0.2">
      <c r="B107" s="699" t="s">
        <v>705</v>
      </c>
      <c r="C107" s="190">
        <v>1</v>
      </c>
      <c r="D107" s="292"/>
      <c r="E107" s="274"/>
      <c r="F107" s="102" t="str">
        <f>IF(M107=1,"*","")</f>
        <v/>
      </c>
      <c r="H107" s="19"/>
      <c r="M107" s="36">
        <f>IF(D97&gt;=1,IF(SUM(N107:P107)&lt;&gt;0,1,0),0)</f>
        <v>0</v>
      </c>
      <c r="N107" s="36">
        <f>IF(P97="Yes",IF(ISERROR(EXACT(VLOOKUP(D107,country_all,1,FALSE),D107)),1,0),0)</f>
        <v>0</v>
      </c>
      <c r="O107" s="36">
        <f>IF(P97="Yes",IF(COUNTIF($D$107:$D$111,D107)&lt;&gt;1,1,0),0)</f>
        <v>0</v>
      </c>
      <c r="P107" s="36">
        <f>IF(P97="Yes",IF(D97&gt;=1,IF(ISNUMBER(E107)=FALSE,1,0),0),0)</f>
        <v>0</v>
      </c>
      <c r="Q107" s="36" t="str">
        <f>IF(D97="","",IF(D97&gt;=1,0,1))</f>
        <v/>
      </c>
    </row>
    <row r="108" spans="2:17" ht="24" customHeight="1" x14ac:dyDescent="0.2">
      <c r="B108" s="679"/>
      <c r="C108" s="283">
        <v>2</v>
      </c>
      <c r="D108" s="288"/>
      <c r="E108" s="270"/>
      <c r="F108" s="102" t="str">
        <f>IF(M108=1,"*","")</f>
        <v/>
      </c>
      <c r="H108" s="19"/>
      <c r="M108" s="36">
        <f>IF(D97&gt;=2,IF(SUM(N108:P108)&lt;&gt;0,1,0),0)</f>
        <v>0</v>
      </c>
      <c r="N108" s="36">
        <f>IF(P97="Yes",IF(ISERROR(EXACT(VLOOKUP(D108,country_all,1,FALSE),D108)),1,0),0)</f>
        <v>0</v>
      </c>
      <c r="O108" s="36">
        <f>IF(P97="Yes",IF(COUNTIF($D$107:$D$111,D108)&lt;&gt;1,1,0),0)</f>
        <v>0</v>
      </c>
      <c r="P108" s="36">
        <f>IF(P97="Yes",IF(D97&gt;=2,IF(ISNUMBER(E108)=FALSE,1,0),0),0)</f>
        <v>0</v>
      </c>
      <c r="Q108" s="36" t="str">
        <f>IF(D97="","",IF(D97&gt;=2,0,1))</f>
        <v/>
      </c>
    </row>
    <row r="109" spans="2:17" ht="24" customHeight="1" x14ac:dyDescent="0.2">
      <c r="B109" s="679"/>
      <c r="C109" s="283">
        <v>3</v>
      </c>
      <c r="D109" s="288"/>
      <c r="E109" s="270"/>
      <c r="F109" s="102" t="str">
        <f>IF(M109=1,"*","")</f>
        <v/>
      </c>
      <c r="H109" s="19"/>
      <c r="M109" s="36">
        <f>IF(D97&gt;=3,IF(SUM(N109:P109)&lt;&gt;0,1,0),0)</f>
        <v>0</v>
      </c>
      <c r="N109" s="36">
        <f>IF(P97="Yes",IF(ISERROR(EXACT(VLOOKUP(D109,country_all,1,FALSE),D109)),1,0),0)</f>
        <v>0</v>
      </c>
      <c r="O109" s="36">
        <f>IF(P97="Yes",IF(COUNTIF($D$107:$D$111,D109)&lt;&gt;1,1,0),0)</f>
        <v>0</v>
      </c>
      <c r="P109" s="36">
        <f>IF(P97="Yes",IF(D97&gt;=3,IF(ISNUMBER(E109)=FALSE,1,0),0),0)</f>
        <v>0</v>
      </c>
      <c r="Q109" s="36" t="str">
        <f>IF(D97="","",IF(D97&gt;=3,0,1))</f>
        <v/>
      </c>
    </row>
    <row r="110" spans="2:17" ht="24" customHeight="1" x14ac:dyDescent="0.2">
      <c r="B110" s="679"/>
      <c r="C110" s="283">
        <v>4</v>
      </c>
      <c r="D110" s="288"/>
      <c r="E110" s="270"/>
      <c r="F110" s="102" t="str">
        <f>IF(M110=1,"*","")</f>
        <v/>
      </c>
      <c r="H110" s="19"/>
      <c r="M110" s="36">
        <f>IF(D97&gt;=4,IF(SUM(N110:P110)&lt;&gt;0,1,0),0)</f>
        <v>0</v>
      </c>
      <c r="N110" s="36">
        <f>IF(P97="Yes",IF(ISERROR(EXACT(VLOOKUP(D110,country_all,1,FALSE),D110)),1,0),0)</f>
        <v>0</v>
      </c>
      <c r="O110" s="36">
        <f>IF(P97="Yes",IF(COUNTIF($D$107:$D$111,D110)&lt;&gt;1,1,0),0)</f>
        <v>0</v>
      </c>
      <c r="P110" s="36">
        <f>IF(P97="Yes",IF(D97&gt;=4,IF(ISNUMBER(E110)=FALSE,1,0),0),0)</f>
        <v>0</v>
      </c>
      <c r="Q110" s="36" t="str">
        <f>IF(D97="","",IF(D97&gt;=4,0,1))</f>
        <v/>
      </c>
    </row>
    <row r="111" spans="2:17" ht="24" customHeight="1" thickBot="1" x14ac:dyDescent="0.25">
      <c r="B111" s="784"/>
      <c r="C111" s="179">
        <v>5</v>
      </c>
      <c r="D111" s="290"/>
      <c r="E111" s="406"/>
      <c r="F111" s="102" t="str">
        <f>IF(M111=1,"*","")</f>
        <v/>
      </c>
      <c r="H111" s="19"/>
      <c r="M111" s="36">
        <f>IF(D97&gt;=5,IF(SUM(N111:P111)&lt;&gt;0,1,0),0)</f>
        <v>0</v>
      </c>
      <c r="N111" s="36">
        <f>IF(P97="Yes",IF(ISERROR(EXACT(VLOOKUP(D111,country_all,1,FALSE),D111)),1,0),0)</f>
        <v>0</v>
      </c>
      <c r="O111" s="36">
        <f>IF(P97="Yes",IF(COUNTIF($D$107:$D$111,D111)&lt;&gt;1,1,0),0)</f>
        <v>0</v>
      </c>
      <c r="P111" s="36">
        <f>IF(P97="Yes",IF(D97&gt;=5,IF(ISNUMBER(E111)=FALSE,1,0),0),0)</f>
        <v>0</v>
      </c>
      <c r="Q111" s="36" t="str">
        <f>IF(D97="","",IF(D97&gt;=5,0,1))</f>
        <v/>
      </c>
    </row>
    <row r="112" spans="2:17" ht="15.95" customHeight="1" thickBot="1" x14ac:dyDescent="0.25">
      <c r="B112" s="423"/>
      <c r="C112" s="423"/>
      <c r="D112" s="102"/>
      <c r="H112" s="19"/>
    </row>
    <row r="113" spans="2:19" ht="39.950000000000003" customHeight="1" x14ac:dyDescent="0.2">
      <c r="B113" s="546" t="s">
        <v>449</v>
      </c>
      <c r="C113" s="628"/>
      <c r="D113" s="812" t="s">
        <v>713</v>
      </c>
      <c r="E113" s="813"/>
      <c r="F113" s="358"/>
      <c r="H113" s="1"/>
      <c r="I113" s="19"/>
      <c r="M113" s="1"/>
      <c r="N113" s="38"/>
      <c r="O113" s="38"/>
      <c r="S113" s="36"/>
    </row>
    <row r="114" spans="2:19" ht="39.950000000000003" customHeight="1" x14ac:dyDescent="0.2">
      <c r="B114" s="804" t="s">
        <v>723</v>
      </c>
      <c r="C114" s="805"/>
      <c r="D114" s="810" t="str">
        <f>IF((N114&amp;" "&amp;O114)="TRUE TRUE","Please select only one option","")</f>
        <v/>
      </c>
      <c r="E114" s="811"/>
      <c r="F114" s="94" t="str">
        <f>IF(M114=1,"*","")</f>
        <v>*</v>
      </c>
      <c r="H114" s="1"/>
      <c r="I114" s="19"/>
      <c r="M114" s="36">
        <f>IF(P114=1,IF((N114&amp;" "&amp;O114)="TRUE FALSE","Yes",IF((N114&amp;" "&amp;O114)="FALSE TRUE","No",1)),0)</f>
        <v>1</v>
      </c>
      <c r="N114" s="79" t="b">
        <v>0</v>
      </c>
      <c r="O114" s="79" t="b">
        <v>0</v>
      </c>
      <c r="P114" s="36">
        <f>IF(COUNTIF($P$96:$P$97,"No")&lt;&gt;2,1,0)</f>
        <v>1</v>
      </c>
    </row>
    <row r="115" spans="2:19" ht="39.950000000000003" customHeight="1" thickBot="1" x14ac:dyDescent="0.25">
      <c r="B115" s="806" t="s">
        <v>721</v>
      </c>
      <c r="C115" s="807"/>
      <c r="D115" s="723"/>
      <c r="E115" s="724"/>
      <c r="F115" s="94" t="str">
        <f>IF(M115=1,"*","")</f>
        <v/>
      </c>
      <c r="H115" s="1"/>
      <c r="I115" s="19"/>
      <c r="M115" s="87">
        <f>IF(M114="No",IF(ISNUMBER(D115)=TRUE,0,1),0)+IF(M114="",IF(ISBLANK(D115)=TRUE,0,1),0)</f>
        <v>0</v>
      </c>
      <c r="P115" s="36"/>
    </row>
    <row r="116" spans="2:19" ht="15.95" customHeight="1" x14ac:dyDescent="0.2">
      <c r="B116" s="434"/>
      <c r="C116" s="437"/>
      <c r="D116" s="438"/>
      <c r="H116" s="19"/>
      <c r="L116" s="38"/>
      <c r="M116" s="1"/>
      <c r="P116" s="36"/>
    </row>
    <row r="117" spans="2:19" ht="15.95" customHeight="1" x14ac:dyDescent="0.2">
      <c r="B117" s="439" t="str">
        <f>IF(M114="No",IF(ISNUMBER(D115)=TRUE,"Please note that your application will not proceed until all the required documentation is submitted",""),"")</f>
        <v/>
      </c>
      <c r="C117" s="440"/>
      <c r="D117" s="441"/>
      <c r="E117" s="237"/>
      <c r="H117" s="19"/>
    </row>
    <row r="118" spans="2:19" ht="15.95" customHeight="1" thickBot="1" x14ac:dyDescent="0.25">
      <c r="B118" s="423"/>
      <c r="C118" s="423"/>
      <c r="D118" s="442"/>
      <c r="H118" s="19"/>
    </row>
    <row r="119" spans="2:19" ht="63.95" customHeight="1" thickBot="1" x14ac:dyDescent="0.25">
      <c r="B119" s="791" t="s">
        <v>724</v>
      </c>
      <c r="C119" s="792"/>
      <c r="D119" s="598" t="s">
        <v>713</v>
      </c>
      <c r="E119" s="621" t="s">
        <v>710</v>
      </c>
      <c r="H119" s="19"/>
    </row>
    <row r="120" spans="2:19" ht="66.75" customHeight="1" x14ac:dyDescent="0.2">
      <c r="B120" s="799" t="s">
        <v>842</v>
      </c>
      <c r="C120" s="800"/>
      <c r="D120" s="572" t="str">
        <f>IF((N120&amp;" "&amp;O120)="TRUE TRUE","Please select only one option","")</f>
        <v/>
      </c>
      <c r="E120" s="573"/>
      <c r="F120" s="102" t="str">
        <f>IF(M120=1,"*","")</f>
        <v/>
      </c>
      <c r="H120" s="19"/>
      <c r="M120" s="36">
        <f>IF(P98="Yes",IF((N120&amp;" "&amp;O120)="FALSE FALSE",1,IF((N120&amp;" "&amp;O120)="TRUE FALSE",0,IF((N120&amp;" "&amp;O120)="FALSE TRUE",0,IF((N120&amp;" "&amp;O120)="TRUE TRUE",1,0)))),0)+IF((N120&amp;" "&amp;O120)="TRUE FALSE",IF(ISBLANK(E120)=TRUE,1,0))</f>
        <v>0</v>
      </c>
      <c r="N120" s="79" t="b">
        <v>0</v>
      </c>
      <c r="O120" s="79" t="b">
        <v>0</v>
      </c>
      <c r="P120" s="36" t="str">
        <f>IF((N120&amp;" "&amp;O120)="FALSE TRUE","No","")</f>
        <v/>
      </c>
    </row>
    <row r="121" spans="2:19" ht="48" customHeight="1" x14ac:dyDescent="0.2">
      <c r="B121" s="801" t="s">
        <v>843</v>
      </c>
      <c r="C121" s="802"/>
      <c r="D121" s="352" t="str">
        <f>IF((N121&amp;" "&amp;O121)="TRUE TRUE","Please select only one option","")</f>
        <v/>
      </c>
      <c r="E121" s="574"/>
      <c r="F121" s="102" t="str">
        <f>IF(M121=1,"*","")</f>
        <v/>
      </c>
      <c r="H121" s="19"/>
      <c r="M121" s="36">
        <f>IF(P98="Yes",IF((N121&amp;" "&amp;O121)="FALSE FALSE",1,IF((N121&amp;" "&amp;O121)="TRUE FALSE",0,IF((N121&amp;" "&amp;O121)="FALSE TRUE",0,IF((N121&amp;" "&amp;O121)="TRUE TRUE",1,0)))),0)+IF((N121&amp;" "&amp;O121)="TRUE FALSE",IF(ISBLANK(E121)=TRUE,1,0))</f>
        <v>0</v>
      </c>
      <c r="N121" s="79" t="b">
        <v>0</v>
      </c>
      <c r="O121" s="79" t="b">
        <v>0</v>
      </c>
      <c r="P121" s="36" t="str">
        <f>IF((N121&amp;" "&amp;O121)="FALSE TRUE","No","")</f>
        <v/>
      </c>
    </row>
    <row r="122" spans="2:19" ht="48" customHeight="1" x14ac:dyDescent="0.2">
      <c r="B122" s="779" t="s">
        <v>637</v>
      </c>
      <c r="C122" s="803"/>
      <c r="D122" s="352" t="str">
        <f>IF((N122&amp;" "&amp;O122)="TRUE TRUE","Please select only one option","")</f>
        <v/>
      </c>
      <c r="E122" s="578"/>
      <c r="F122" s="102" t="str">
        <f>IF(M122=1,"*","")</f>
        <v/>
      </c>
      <c r="H122" s="19"/>
      <c r="M122" s="36">
        <f>IF(P98="Yes",IF((N122&amp;" "&amp;O122)="FALSE FALSE",1,IF((N122&amp;" "&amp;O122)="TRUE FALSE",0,IF((N122&amp;" "&amp;O122)="FALSE TRUE",0,IF((N122&amp;" "&amp;O122)="TRUE TRUE",1,0)))),0)+IF((N122&amp;" "&amp;O122)="TRUE FALSE",IF(ISBLANK(E122)=TRUE,1,0))</f>
        <v>0</v>
      </c>
      <c r="N122" s="79" t="b">
        <v>0</v>
      </c>
      <c r="O122" s="79" t="b">
        <v>0</v>
      </c>
      <c r="P122" s="36" t="str">
        <f>IF((N122&amp;" "&amp;O122)="FALSE TRUE","No","")</f>
        <v/>
      </c>
    </row>
    <row r="123" spans="2:19" ht="48" customHeight="1" x14ac:dyDescent="0.2">
      <c r="B123" s="808" t="s">
        <v>844</v>
      </c>
      <c r="C123" s="809"/>
      <c r="D123" s="575" t="str">
        <f>IF((N123&amp;" "&amp;O123)="TRUE TRUE","Please select only one option","")</f>
        <v/>
      </c>
      <c r="E123" s="576"/>
      <c r="F123" s="102" t="str">
        <f>IF(M123=1,"*","")</f>
        <v/>
      </c>
      <c r="H123" s="19"/>
      <c r="M123" s="36">
        <f>IF(P98="Yes",IF((N123&amp;" "&amp;O123)="FALSE FALSE",1,IF((N123&amp;" "&amp;O123)="TRUE FALSE",0,IF((N123&amp;" "&amp;O123)="FALSE TRUE",0,IF((N123&amp;" "&amp;O123)="TRUE TRUE",1,0)))),0)+IF((N123&amp;" "&amp;O123)="TRUE FALSE",IF(ISBLANK(E123)=TRUE,1,0))</f>
        <v>0</v>
      </c>
      <c r="N123" s="79" t="b">
        <v>0</v>
      </c>
      <c r="O123" s="79" t="b">
        <v>0</v>
      </c>
      <c r="P123" s="36" t="str">
        <f>IF((N123&amp;" "&amp;O123)="FALSE TRUE","No","")</f>
        <v/>
      </c>
    </row>
    <row r="124" spans="2:19" ht="48" customHeight="1" thickBot="1" x14ac:dyDescent="0.25">
      <c r="B124" s="789" t="s">
        <v>828</v>
      </c>
      <c r="C124" s="790"/>
      <c r="D124" s="577"/>
      <c r="E124" s="568"/>
      <c r="F124" s="102" t="str">
        <f>IF(M124=1,"*","")</f>
        <v/>
      </c>
      <c r="H124" s="19"/>
      <c r="M124" s="36">
        <f>IF(P124="No",IF(ISNUMBER(E124)=TRUE,0,1),0)</f>
        <v>0</v>
      </c>
      <c r="N124" s="79"/>
      <c r="O124" s="79"/>
      <c r="P124" s="36" t="str">
        <f>IF(SUM(M120:M123)=0,IF(COUNTIF(P120:P123,"No")&lt;&gt;0,"No",""),0)</f>
        <v/>
      </c>
    </row>
    <row r="125" spans="2:19" x14ac:dyDescent="0.2">
      <c r="E125" s="569"/>
      <c r="H125" s="19"/>
    </row>
    <row r="126" spans="2:19" ht="24" customHeight="1" x14ac:dyDescent="0.2">
      <c r="B126" s="218" t="str">
        <f>IF(P124="No",IF(ISNUMBER(E124)=TRUE,"Please note that your application will not proceed until all the required documentation is submitted",""),"")</f>
        <v/>
      </c>
      <c r="C126" s="237"/>
      <c r="D126" s="237"/>
      <c r="E126" s="237"/>
      <c r="H126" s="19"/>
      <c r="L126" s="69" t="s">
        <v>667</v>
      </c>
      <c r="M126" s="38" t="str">
        <f>IF(SUM(M95:M122)&lt;&gt;0,"Invalid","Valid")</f>
        <v>Invalid</v>
      </c>
    </row>
    <row r="127" spans="2:19" ht="15" x14ac:dyDescent="0.2">
      <c r="B127" s="385"/>
      <c r="C127" s="84"/>
      <c r="D127" s="84"/>
      <c r="E127" s="84"/>
      <c r="H127" s="19"/>
    </row>
    <row r="128" spans="2:19" ht="15" x14ac:dyDescent="0.2">
      <c r="B128" s="551" t="str">
        <f>IF(COUNTIF($M$8:M127,"Invalid")=6,"Please Complete all Sections",IF(COUNTIF($M$8:M127,"Invalid")=0,"All Sections Completed",IF(COUNTIF($M$8:M127,"Invalid")&lt;6,"Please Ensure all sections are completed before progressing to the next section")))</f>
        <v>Please Complete all Sections</v>
      </c>
      <c r="C128" s="237"/>
      <c r="D128" s="237"/>
      <c r="E128" s="237"/>
    </row>
    <row r="129" spans="2:5" x14ac:dyDescent="0.2">
      <c r="E129" s="84"/>
    </row>
    <row r="130" spans="2:5" ht="15" x14ac:dyDescent="0.2">
      <c r="B130" s="385"/>
      <c r="C130" s="84"/>
      <c r="D130" s="84"/>
      <c r="E130" s="84"/>
    </row>
  </sheetData>
  <sheetProtection algorithmName="SHA-512" hashValue="af80kOCXom/NZ1k3b8M5Hhoi2nBW5B26VK+UXBOFlM8wmiU3SzA8Ii7/x7RWs0KFXKX82RNSJF3Y4J9sPdka8g==" saltValue="sZ5kct+rad6YbgyEOo3z/g==" spinCount="100000" sheet="1" objects="1" scenarios="1" selectLockedCells="1"/>
  <mergeCells count="37">
    <mergeCell ref="B9:B14"/>
    <mergeCell ref="B19:B24"/>
    <mergeCell ref="B29:B38"/>
    <mergeCell ref="B50:C51"/>
    <mergeCell ref="B49:C49"/>
    <mergeCell ref="D59:D60"/>
    <mergeCell ref="B68:D68"/>
    <mergeCell ref="B43:C43"/>
    <mergeCell ref="B64:D64"/>
    <mergeCell ref="D50:D51"/>
    <mergeCell ref="B58:C58"/>
    <mergeCell ref="B59:C60"/>
    <mergeCell ref="B124:C124"/>
    <mergeCell ref="B119:C119"/>
    <mergeCell ref="B89:E90"/>
    <mergeCell ref="B120:C120"/>
    <mergeCell ref="B121:C121"/>
    <mergeCell ref="B122:C122"/>
    <mergeCell ref="B100:B104"/>
    <mergeCell ref="B107:B111"/>
    <mergeCell ref="B94:E94"/>
    <mergeCell ref="B114:C114"/>
    <mergeCell ref="B115:C115"/>
    <mergeCell ref="B123:C123"/>
    <mergeCell ref="D114:E114"/>
    <mergeCell ref="D115:E115"/>
    <mergeCell ref="D113:E113"/>
    <mergeCell ref="F89:F90"/>
    <mergeCell ref="C85:D85"/>
    <mergeCell ref="B81:B85"/>
    <mergeCell ref="C84:D84"/>
    <mergeCell ref="B71:B75"/>
    <mergeCell ref="C80:D80"/>
    <mergeCell ref="C81:D81"/>
    <mergeCell ref="C82:D82"/>
    <mergeCell ref="C83:D83"/>
    <mergeCell ref="B79:E79"/>
  </mergeCells>
  <conditionalFormatting sqref="D119">
    <cfRule type="expression" dxfId="45" priority="78">
      <formula>#REF!=1</formula>
    </cfRule>
  </conditionalFormatting>
  <conditionalFormatting sqref="E119">
    <cfRule type="expression" dxfId="44" priority="77">
      <formula>#REF!=1</formula>
    </cfRule>
  </conditionalFormatting>
  <conditionalFormatting sqref="E19">
    <cfRule type="expression" dxfId="43" priority="63">
      <formula>$E$19&gt;$D$19</formula>
    </cfRule>
  </conditionalFormatting>
  <conditionalFormatting sqref="E20">
    <cfRule type="expression" dxfId="42" priority="62">
      <formula>$E$20&gt;$D$20</formula>
    </cfRule>
  </conditionalFormatting>
  <conditionalFormatting sqref="E21">
    <cfRule type="expression" dxfId="41" priority="61">
      <formula>$E$21&gt;$D$21</formula>
    </cfRule>
  </conditionalFormatting>
  <conditionalFormatting sqref="E22">
    <cfRule type="expression" dxfId="40" priority="60">
      <formula>$E$22&gt;$D$22</formula>
    </cfRule>
  </conditionalFormatting>
  <conditionalFormatting sqref="E23">
    <cfRule type="expression" dxfId="39" priority="59">
      <formula>$E$23&gt;$D$23</formula>
    </cfRule>
  </conditionalFormatting>
  <conditionalFormatting sqref="E24">
    <cfRule type="expression" dxfId="38" priority="58">
      <formula>$E$24&gt;$D$24</formula>
    </cfRule>
  </conditionalFormatting>
  <conditionalFormatting sqref="B49:C49">
    <cfRule type="expression" dxfId="37" priority="25">
      <formula>$N$50=1</formula>
    </cfRule>
    <cfRule type="expression" dxfId="36" priority="47">
      <formula>$M$50=1</formula>
    </cfRule>
  </conditionalFormatting>
  <conditionalFormatting sqref="B58:C58">
    <cfRule type="expression" dxfId="35" priority="24">
      <formula>$N$56=1</formula>
    </cfRule>
    <cfRule type="expression" dxfId="34" priority="46">
      <formula>$M$59=1</formula>
    </cfRule>
  </conditionalFormatting>
  <conditionalFormatting sqref="B71:E75">
    <cfRule type="expression" dxfId="33" priority="38">
      <formula>$O$69="Ireland Only"</formula>
    </cfRule>
  </conditionalFormatting>
  <conditionalFormatting sqref="B88">
    <cfRule type="expression" dxfId="32" priority="913">
      <formula>#REF!=1</formula>
    </cfRule>
  </conditionalFormatting>
  <conditionalFormatting sqref="B55:C56">
    <cfRule type="expression" dxfId="31" priority="29">
      <formula>$P$54="No"</formula>
    </cfRule>
  </conditionalFormatting>
  <conditionalFormatting sqref="B46:C47">
    <cfRule type="expression" dxfId="30" priority="26">
      <formula>$P$45="No"</formula>
    </cfRule>
  </conditionalFormatting>
  <conditionalFormatting sqref="D96">
    <cfRule type="expression" dxfId="29" priority="23">
      <formula>$P$96="No"</formula>
    </cfRule>
  </conditionalFormatting>
  <conditionalFormatting sqref="P96">
    <cfRule type="expression" dxfId="28" priority="22">
      <formula>#REF!="No"</formula>
    </cfRule>
  </conditionalFormatting>
  <conditionalFormatting sqref="P97">
    <cfRule type="expression" dxfId="27" priority="21">
      <formula>#REF!="No"</formula>
    </cfRule>
  </conditionalFormatting>
  <conditionalFormatting sqref="B100:E104">
    <cfRule type="expression" dxfId="26" priority="20">
      <formula>$P$96="No"</formula>
    </cfRule>
  </conditionalFormatting>
  <conditionalFormatting sqref="C107:E111">
    <cfRule type="expression" dxfId="25" priority="19">
      <formula>$P$97="No"</formula>
    </cfRule>
  </conditionalFormatting>
  <conditionalFormatting sqref="D97">
    <cfRule type="expression" dxfId="24" priority="18">
      <formula>$P$97="No"</formula>
    </cfRule>
  </conditionalFormatting>
  <conditionalFormatting sqref="C100:E100">
    <cfRule type="expression" dxfId="23" priority="17">
      <formula>$Q$100=1</formula>
    </cfRule>
  </conditionalFormatting>
  <conditionalFormatting sqref="C101:E101">
    <cfRule type="expression" dxfId="22" priority="16">
      <formula>$Q$101=1</formula>
    </cfRule>
  </conditionalFormatting>
  <conditionalFormatting sqref="C102:E102">
    <cfRule type="expression" dxfId="21" priority="15">
      <formula>$Q$102=1</formula>
    </cfRule>
  </conditionalFormatting>
  <conditionalFormatting sqref="C103:E103">
    <cfRule type="expression" dxfId="20" priority="14">
      <formula>$Q$103=1</formula>
    </cfRule>
  </conditionalFormatting>
  <conditionalFormatting sqref="C104:E104">
    <cfRule type="expression" dxfId="19" priority="13">
      <formula>$Q$104=1</formula>
    </cfRule>
  </conditionalFormatting>
  <conditionalFormatting sqref="E96">
    <cfRule type="expression" dxfId="18" priority="12">
      <formula>$P$96="No"</formula>
    </cfRule>
  </conditionalFormatting>
  <conditionalFormatting sqref="E97">
    <cfRule type="expression" dxfId="17" priority="11">
      <formula>$P$97="No"</formula>
    </cfRule>
  </conditionalFormatting>
  <conditionalFormatting sqref="C107:E107">
    <cfRule type="expression" dxfId="16" priority="10">
      <formula>$Q$107=1</formula>
    </cfRule>
  </conditionalFormatting>
  <conditionalFormatting sqref="C108:E108">
    <cfRule type="expression" dxfId="15" priority="9">
      <formula>$Q$108=1</formula>
    </cfRule>
  </conditionalFormatting>
  <conditionalFormatting sqref="C109:E109">
    <cfRule type="expression" dxfId="14" priority="8">
      <formula>$Q$109=1</formula>
    </cfRule>
  </conditionalFormatting>
  <conditionalFormatting sqref="C110:E110">
    <cfRule type="expression" dxfId="13" priority="7">
      <formula>$Q$110=1</formula>
    </cfRule>
  </conditionalFormatting>
  <conditionalFormatting sqref="C111:E111">
    <cfRule type="expression" dxfId="12" priority="6">
      <formula>$Q$111=1</formula>
    </cfRule>
  </conditionalFormatting>
  <conditionalFormatting sqref="B107:B111">
    <cfRule type="expression" dxfId="11" priority="5">
      <formula>$P$97="No"</formula>
    </cfRule>
  </conditionalFormatting>
  <conditionalFormatting sqref="B114:B115 D114:D115">
    <cfRule type="expression" dxfId="10" priority="4">
      <formula>$P$98="No"</formula>
    </cfRule>
  </conditionalFormatting>
  <conditionalFormatting sqref="B120:E123 B124:C124">
    <cfRule type="expression" dxfId="9" priority="3">
      <formula>$P$98="No"</formula>
    </cfRule>
  </conditionalFormatting>
  <conditionalFormatting sqref="B128">
    <cfRule type="expression" dxfId="8" priority="2">
      <formula>$B$128="All Sections Completed"</formula>
    </cfRule>
  </conditionalFormatting>
  <conditionalFormatting sqref="D124:E124">
    <cfRule type="expression" dxfId="7" priority="1">
      <formula>$Q$65="N/A"</formula>
    </cfRule>
  </conditionalFormatting>
  <dataValidations count="19">
    <dataValidation type="whole" allowBlank="1" showInputMessage="1" showErrorMessage="1" errorTitle="Customer Exposure" error="Please only enter numerical data" sqref="D19:D23">
      <formula1>0</formula1>
      <formula2>9999999999</formula2>
    </dataValidation>
    <dataValidation type="list" allowBlank="1" showInputMessage="1" showErrorMessage="1" errorTitle="PEPs" error="Please only select values from the drop down menu provided" sqref="C56">
      <formula1>Frequency</formula1>
    </dataValidation>
    <dataValidation type="list" allowBlank="1" showInputMessage="1" showErrorMessage="1" errorTitle="Distribution Channels" error="Please only select values from the drop down menu provided" sqref="E81:E85">
      <formula1>Channel</formula1>
    </dataValidation>
    <dataValidation type="whole" allowBlank="1" showInputMessage="1" showErrorMessage="1" errorTitle="Customer Types" error="Please only enter numerical data" sqref="D29:D38">
      <formula1>0</formula1>
      <formula2>1000000000000</formula2>
    </dataValidation>
    <dataValidation type="textLength" operator="lessThanOrEqual" allowBlank="1" showInputMessage="1" showErrorMessage="1" sqref="C29:C38">
      <formula1>250</formula1>
    </dataValidation>
    <dataValidation type="whole" allowBlank="1" showInputMessage="1" showErrorMessage="1" errorTitle="VASP Services" error="Please only enter numerical data" sqref="D9:D13">
      <formula1>0</formula1>
      <formula2>9999999999</formula2>
    </dataValidation>
    <dataValidation type="list" allowBlank="1" showInputMessage="1" showErrorMessage="1" errorTitle="Financial Sanctions" error="Please only slect values from the drop down menu provided" sqref="C47">
      <formula1>Frequency</formula1>
    </dataValidation>
    <dataValidation type="whole" allowBlank="1" showInputMessage="1" showErrorMessage="1" sqref="E19:E23">
      <formula1>0</formula1>
      <formula2>999999999999999</formula2>
    </dataValidation>
    <dataValidation allowBlank="1" showInputMessage="1" showErrorMessage="1" errorTitle="Risk Assessment" error="Please only select values from the drop down menu provided" sqref="C46"/>
    <dataValidation type="list" allowBlank="1" showInputMessage="1" showErrorMessage="1" errorTitle="Geography" error="Please only select values from the drop down menu provided" sqref="D71">
      <formula1>INDIRECT($O$69)</formula1>
    </dataValidation>
    <dataValidation type="list" allowBlank="1" showInputMessage="1" showErrorMessage="1" sqref="D72:D75">
      <formula1>INDIRECT($O$69)</formula1>
    </dataValidation>
    <dataValidation type="whole" allowBlank="1" showInputMessage="1" showErrorMessage="1" errorTitle="Agents \ Branches" error="Please only enter numerical values" sqref="B98:C98 B112:C112 C117:C118 B118">
      <formula1>0</formula1>
      <formula2>10000000</formula2>
    </dataValidation>
    <dataValidation type="whole" allowBlank="1" showInputMessage="1" showErrorMessage="1" errorTitle="Number of Agents / Branches" error="Please only enter numercial data.  Only values greater than zero should be input_x000a_" sqref="D96:E97">
      <formula1>1</formula1>
      <formula2>1000000</formula2>
    </dataValidation>
    <dataValidation type="whole" operator="greaterThanOrEqual" allowBlank="1" showInputMessage="1" showErrorMessage="1" sqref="E100:E104 E107:E111">
      <formula1>1</formula1>
    </dataValidation>
    <dataValidation type="date" allowBlank="1" showInputMessage="1" showErrorMessage="1" sqref="F113">
      <formula1>43466</formula1>
      <formula2>73050</formula2>
    </dataValidation>
    <dataValidation type="list" allowBlank="1" showInputMessage="1" showErrorMessage="1" sqref="D100:D104 D107:D111">
      <formula1>country_all</formula1>
    </dataValidation>
    <dataValidation type="date" allowBlank="1" showInputMessage="1" showErrorMessage="1" errorTitle="Date" error="Please only enter dates in the dd/mm/yyyy format" sqref="E124">
      <formula1>TODAY()-30</formula1>
      <formula2>TODAY()+7500</formula2>
    </dataValidation>
    <dataValidation allowBlank="1" showInputMessage="1" showErrorMessage="1" errorTitle="Date" error="Please only enter dates in the dd/mm/yyyy format" sqref="D124"/>
    <dataValidation type="textLength" operator="lessThan" allowBlank="1" showInputMessage="1" showErrorMessage="1" errorTitle="Cell Values" error="Please do not enter any data into this cell_x000a_" sqref="E125">
      <formula1>1</formula1>
    </dataValidation>
  </dataValidation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69" r:id="rId4" name="Check Box 21">
              <controlPr defaultSize="0" autoFill="0" autoLine="0" autoPict="0">
                <anchor moveWithCells="1">
                  <from>
                    <xdr:col>1</xdr:col>
                    <xdr:colOff>990600</xdr:colOff>
                    <xdr:row>66</xdr:row>
                    <xdr:rowOff>9525</xdr:rowOff>
                  </from>
                  <to>
                    <xdr:col>1</xdr:col>
                    <xdr:colOff>1809750</xdr:colOff>
                    <xdr:row>67</xdr:row>
                    <xdr:rowOff>0</xdr:rowOff>
                  </to>
                </anchor>
              </controlPr>
            </control>
          </mc:Choice>
        </mc:AlternateContent>
        <mc:AlternateContent xmlns:mc="http://schemas.openxmlformats.org/markup-compatibility/2006">
          <mc:Choice Requires="x14">
            <control shapeId="2076" r:id="rId5" name="Check Box 28">
              <controlPr defaultSize="0" autoFill="0" autoLine="0" autoPict="0">
                <anchor moveWithCells="1">
                  <from>
                    <xdr:col>2</xdr:col>
                    <xdr:colOff>790575</xdr:colOff>
                    <xdr:row>44</xdr:row>
                    <xdr:rowOff>9525</xdr:rowOff>
                  </from>
                  <to>
                    <xdr:col>2</xdr:col>
                    <xdr:colOff>1457325</xdr:colOff>
                    <xdr:row>44</xdr:row>
                    <xdr:rowOff>390525</xdr:rowOff>
                  </to>
                </anchor>
              </controlPr>
            </control>
          </mc:Choice>
        </mc:AlternateContent>
        <mc:AlternateContent xmlns:mc="http://schemas.openxmlformats.org/markup-compatibility/2006">
          <mc:Choice Requires="x14">
            <control shapeId="2077" r:id="rId6" name="Check Box 29">
              <controlPr defaultSize="0" autoFill="0" autoLine="0" autoPict="0">
                <anchor moveWithCells="1">
                  <from>
                    <xdr:col>2</xdr:col>
                    <xdr:colOff>1466850</xdr:colOff>
                    <xdr:row>44</xdr:row>
                    <xdr:rowOff>9525</xdr:rowOff>
                  </from>
                  <to>
                    <xdr:col>2</xdr:col>
                    <xdr:colOff>2133600</xdr:colOff>
                    <xdr:row>44</xdr:row>
                    <xdr:rowOff>390525</xdr:rowOff>
                  </to>
                </anchor>
              </controlPr>
            </control>
          </mc:Choice>
        </mc:AlternateContent>
        <mc:AlternateContent xmlns:mc="http://schemas.openxmlformats.org/markup-compatibility/2006">
          <mc:Choice Requires="x14">
            <control shapeId="2105" r:id="rId7" name="Check Box 57">
              <controlPr defaultSize="0" autoFill="0" autoLine="0" autoPict="0">
                <anchor moveWithCells="1">
                  <from>
                    <xdr:col>1</xdr:col>
                    <xdr:colOff>2247900</xdr:colOff>
                    <xdr:row>66</xdr:row>
                    <xdr:rowOff>19050</xdr:rowOff>
                  </from>
                  <to>
                    <xdr:col>1</xdr:col>
                    <xdr:colOff>3076575</xdr:colOff>
                    <xdr:row>67</xdr:row>
                    <xdr:rowOff>0</xdr:rowOff>
                  </to>
                </anchor>
              </controlPr>
            </control>
          </mc:Choice>
        </mc:AlternateContent>
        <mc:AlternateContent xmlns:mc="http://schemas.openxmlformats.org/markup-compatibility/2006">
          <mc:Choice Requires="x14">
            <control shapeId="2152" r:id="rId8" name="Check Box 104">
              <controlPr defaultSize="0" autoFill="0" autoLine="0" autoPict="0" altText="Annually">
                <anchor moveWithCells="1">
                  <from>
                    <xdr:col>2</xdr:col>
                    <xdr:colOff>590550</xdr:colOff>
                    <xdr:row>45</xdr:row>
                    <xdr:rowOff>9525</xdr:rowOff>
                  </from>
                  <to>
                    <xdr:col>2</xdr:col>
                    <xdr:colOff>1219200</xdr:colOff>
                    <xdr:row>46</xdr:row>
                    <xdr:rowOff>0</xdr:rowOff>
                  </to>
                </anchor>
              </controlPr>
            </control>
          </mc:Choice>
        </mc:AlternateContent>
        <mc:AlternateContent xmlns:mc="http://schemas.openxmlformats.org/markup-compatibility/2006">
          <mc:Choice Requires="x14">
            <control shapeId="2153" r:id="rId9" name="Check Box 105">
              <controlPr defaultSize="0" autoFill="0" autoLine="0" autoPict="0">
                <anchor moveWithCells="1">
                  <from>
                    <xdr:col>2</xdr:col>
                    <xdr:colOff>1495425</xdr:colOff>
                    <xdr:row>45</xdr:row>
                    <xdr:rowOff>9525</xdr:rowOff>
                  </from>
                  <to>
                    <xdr:col>2</xdr:col>
                    <xdr:colOff>2124075</xdr:colOff>
                    <xdr:row>46</xdr:row>
                    <xdr:rowOff>0</xdr:rowOff>
                  </to>
                </anchor>
              </controlPr>
            </control>
          </mc:Choice>
        </mc:AlternateContent>
        <mc:AlternateContent xmlns:mc="http://schemas.openxmlformats.org/markup-compatibility/2006">
          <mc:Choice Requires="x14">
            <control shapeId="2156" r:id="rId10" name="Check Box 108">
              <controlPr defaultSize="0" autoFill="0" autoLine="0" autoPict="0">
                <anchor moveWithCells="1">
                  <from>
                    <xdr:col>2</xdr:col>
                    <xdr:colOff>790575</xdr:colOff>
                    <xdr:row>53</xdr:row>
                    <xdr:rowOff>9525</xdr:rowOff>
                  </from>
                  <to>
                    <xdr:col>2</xdr:col>
                    <xdr:colOff>1457325</xdr:colOff>
                    <xdr:row>54</xdr:row>
                    <xdr:rowOff>0</xdr:rowOff>
                  </to>
                </anchor>
              </controlPr>
            </control>
          </mc:Choice>
        </mc:AlternateContent>
        <mc:AlternateContent xmlns:mc="http://schemas.openxmlformats.org/markup-compatibility/2006">
          <mc:Choice Requires="x14">
            <control shapeId="2157" r:id="rId11" name="Check Box 109">
              <controlPr defaultSize="0" autoFill="0" autoLine="0" autoPict="0">
                <anchor moveWithCells="1">
                  <from>
                    <xdr:col>2</xdr:col>
                    <xdr:colOff>1466850</xdr:colOff>
                    <xdr:row>53</xdr:row>
                    <xdr:rowOff>9525</xdr:rowOff>
                  </from>
                  <to>
                    <xdr:col>2</xdr:col>
                    <xdr:colOff>2133600</xdr:colOff>
                    <xdr:row>54</xdr:row>
                    <xdr:rowOff>0</xdr:rowOff>
                  </to>
                </anchor>
              </controlPr>
            </control>
          </mc:Choice>
        </mc:AlternateContent>
        <mc:AlternateContent xmlns:mc="http://schemas.openxmlformats.org/markup-compatibility/2006">
          <mc:Choice Requires="x14">
            <control shapeId="2158" r:id="rId12" name="Check Box 110">
              <controlPr defaultSize="0" autoFill="0" autoLine="0" autoPict="0" altText="Annually">
                <anchor moveWithCells="1">
                  <from>
                    <xdr:col>2</xdr:col>
                    <xdr:colOff>590550</xdr:colOff>
                    <xdr:row>54</xdr:row>
                    <xdr:rowOff>9525</xdr:rowOff>
                  </from>
                  <to>
                    <xdr:col>2</xdr:col>
                    <xdr:colOff>1219200</xdr:colOff>
                    <xdr:row>55</xdr:row>
                    <xdr:rowOff>0</xdr:rowOff>
                  </to>
                </anchor>
              </controlPr>
            </control>
          </mc:Choice>
        </mc:AlternateContent>
        <mc:AlternateContent xmlns:mc="http://schemas.openxmlformats.org/markup-compatibility/2006">
          <mc:Choice Requires="x14">
            <control shapeId="2159" r:id="rId13" name="Check Box 111">
              <controlPr defaultSize="0" autoFill="0" autoLine="0" autoPict="0">
                <anchor moveWithCells="1">
                  <from>
                    <xdr:col>2</xdr:col>
                    <xdr:colOff>1495425</xdr:colOff>
                    <xdr:row>54</xdr:row>
                    <xdr:rowOff>9525</xdr:rowOff>
                  </from>
                  <to>
                    <xdr:col>2</xdr:col>
                    <xdr:colOff>2124075</xdr:colOff>
                    <xdr:row>55</xdr:row>
                    <xdr:rowOff>0</xdr:rowOff>
                  </to>
                </anchor>
              </controlPr>
            </control>
          </mc:Choice>
        </mc:AlternateContent>
        <mc:AlternateContent xmlns:mc="http://schemas.openxmlformats.org/markup-compatibility/2006">
          <mc:Choice Requires="x14">
            <control shapeId="2160" r:id="rId14" name="Check Box 112">
              <controlPr defaultSize="0" autoFill="0" autoLine="0" autoPict="0">
                <anchor moveWithCells="1">
                  <from>
                    <xdr:col>2</xdr:col>
                    <xdr:colOff>790575</xdr:colOff>
                    <xdr:row>66</xdr:row>
                    <xdr:rowOff>9525</xdr:rowOff>
                  </from>
                  <to>
                    <xdr:col>2</xdr:col>
                    <xdr:colOff>1457325</xdr:colOff>
                    <xdr:row>66</xdr:row>
                    <xdr:rowOff>514350</xdr:rowOff>
                  </to>
                </anchor>
              </controlPr>
            </control>
          </mc:Choice>
        </mc:AlternateContent>
        <mc:AlternateContent xmlns:mc="http://schemas.openxmlformats.org/markup-compatibility/2006">
          <mc:Choice Requires="x14">
            <control shapeId="2161" r:id="rId15" name="Check Box 113">
              <controlPr defaultSize="0" autoFill="0" autoLine="0" autoPict="0">
                <anchor moveWithCells="1">
                  <from>
                    <xdr:col>2</xdr:col>
                    <xdr:colOff>1466850</xdr:colOff>
                    <xdr:row>66</xdr:row>
                    <xdr:rowOff>9525</xdr:rowOff>
                  </from>
                  <to>
                    <xdr:col>2</xdr:col>
                    <xdr:colOff>2133600</xdr:colOff>
                    <xdr:row>66</xdr:row>
                    <xdr:rowOff>514350</xdr:rowOff>
                  </to>
                </anchor>
              </controlPr>
            </control>
          </mc:Choice>
        </mc:AlternateContent>
        <mc:AlternateContent xmlns:mc="http://schemas.openxmlformats.org/markup-compatibility/2006">
          <mc:Choice Requires="x14">
            <control shapeId="2162" r:id="rId16" name="Check Box 114">
              <controlPr defaultSize="0" autoFill="0" autoLine="0" autoPict="0">
                <anchor moveWithCells="1">
                  <from>
                    <xdr:col>3</xdr:col>
                    <xdr:colOff>790575</xdr:colOff>
                    <xdr:row>66</xdr:row>
                    <xdr:rowOff>9525</xdr:rowOff>
                  </from>
                  <to>
                    <xdr:col>3</xdr:col>
                    <xdr:colOff>1457325</xdr:colOff>
                    <xdr:row>66</xdr:row>
                    <xdr:rowOff>514350</xdr:rowOff>
                  </to>
                </anchor>
              </controlPr>
            </control>
          </mc:Choice>
        </mc:AlternateContent>
        <mc:AlternateContent xmlns:mc="http://schemas.openxmlformats.org/markup-compatibility/2006">
          <mc:Choice Requires="x14">
            <control shapeId="2163" r:id="rId17" name="Check Box 115">
              <controlPr defaultSize="0" autoFill="0" autoLine="0" autoPict="0">
                <anchor moveWithCells="1">
                  <from>
                    <xdr:col>3</xdr:col>
                    <xdr:colOff>1466850</xdr:colOff>
                    <xdr:row>66</xdr:row>
                    <xdr:rowOff>9525</xdr:rowOff>
                  </from>
                  <to>
                    <xdr:col>3</xdr:col>
                    <xdr:colOff>2133600</xdr:colOff>
                    <xdr:row>66</xdr:row>
                    <xdr:rowOff>514350</xdr:rowOff>
                  </to>
                </anchor>
              </controlPr>
            </control>
          </mc:Choice>
        </mc:AlternateContent>
        <mc:AlternateContent xmlns:mc="http://schemas.openxmlformats.org/markup-compatibility/2006">
          <mc:Choice Requires="x14">
            <control shapeId="2168" r:id="rId18" name="Check Box 120">
              <controlPr defaultSize="0" autoFill="0" autoLine="0" autoPict="0">
                <anchor moveWithCells="1">
                  <from>
                    <xdr:col>3</xdr:col>
                    <xdr:colOff>790575</xdr:colOff>
                    <xdr:row>119</xdr:row>
                    <xdr:rowOff>9525</xdr:rowOff>
                  </from>
                  <to>
                    <xdr:col>3</xdr:col>
                    <xdr:colOff>1457325</xdr:colOff>
                    <xdr:row>120</xdr:row>
                    <xdr:rowOff>0</xdr:rowOff>
                  </to>
                </anchor>
              </controlPr>
            </control>
          </mc:Choice>
        </mc:AlternateContent>
        <mc:AlternateContent xmlns:mc="http://schemas.openxmlformats.org/markup-compatibility/2006">
          <mc:Choice Requires="x14">
            <control shapeId="2169" r:id="rId19" name="Check Box 121">
              <controlPr defaultSize="0" autoFill="0" autoLine="0" autoPict="0">
                <anchor moveWithCells="1">
                  <from>
                    <xdr:col>3</xdr:col>
                    <xdr:colOff>1466850</xdr:colOff>
                    <xdr:row>119</xdr:row>
                    <xdr:rowOff>9525</xdr:rowOff>
                  </from>
                  <to>
                    <xdr:col>3</xdr:col>
                    <xdr:colOff>2133600</xdr:colOff>
                    <xdr:row>120</xdr:row>
                    <xdr:rowOff>0</xdr:rowOff>
                  </to>
                </anchor>
              </controlPr>
            </control>
          </mc:Choice>
        </mc:AlternateContent>
        <mc:AlternateContent xmlns:mc="http://schemas.openxmlformats.org/markup-compatibility/2006">
          <mc:Choice Requires="x14">
            <control shapeId="2170" r:id="rId20" name="Check Box 122">
              <controlPr defaultSize="0" autoFill="0" autoLine="0" autoPict="0">
                <anchor moveWithCells="1">
                  <from>
                    <xdr:col>3</xdr:col>
                    <xdr:colOff>790575</xdr:colOff>
                    <xdr:row>120</xdr:row>
                    <xdr:rowOff>9525</xdr:rowOff>
                  </from>
                  <to>
                    <xdr:col>3</xdr:col>
                    <xdr:colOff>1457325</xdr:colOff>
                    <xdr:row>121</xdr:row>
                    <xdr:rowOff>0</xdr:rowOff>
                  </to>
                </anchor>
              </controlPr>
            </control>
          </mc:Choice>
        </mc:AlternateContent>
        <mc:AlternateContent xmlns:mc="http://schemas.openxmlformats.org/markup-compatibility/2006">
          <mc:Choice Requires="x14">
            <control shapeId="2171" r:id="rId21" name="Check Box 123">
              <controlPr defaultSize="0" autoFill="0" autoLine="0" autoPict="0">
                <anchor moveWithCells="1">
                  <from>
                    <xdr:col>3</xdr:col>
                    <xdr:colOff>1466850</xdr:colOff>
                    <xdr:row>120</xdr:row>
                    <xdr:rowOff>9525</xdr:rowOff>
                  </from>
                  <to>
                    <xdr:col>3</xdr:col>
                    <xdr:colOff>2133600</xdr:colOff>
                    <xdr:row>121</xdr:row>
                    <xdr:rowOff>0</xdr:rowOff>
                  </to>
                </anchor>
              </controlPr>
            </control>
          </mc:Choice>
        </mc:AlternateContent>
        <mc:AlternateContent xmlns:mc="http://schemas.openxmlformats.org/markup-compatibility/2006">
          <mc:Choice Requires="x14">
            <control shapeId="2172" r:id="rId22" name="Check Box 124">
              <controlPr defaultSize="0" autoFill="0" autoLine="0" autoPict="0">
                <anchor moveWithCells="1">
                  <from>
                    <xdr:col>3</xdr:col>
                    <xdr:colOff>790575</xdr:colOff>
                    <xdr:row>121</xdr:row>
                    <xdr:rowOff>9525</xdr:rowOff>
                  </from>
                  <to>
                    <xdr:col>3</xdr:col>
                    <xdr:colOff>1457325</xdr:colOff>
                    <xdr:row>122</xdr:row>
                    <xdr:rowOff>0</xdr:rowOff>
                  </to>
                </anchor>
              </controlPr>
            </control>
          </mc:Choice>
        </mc:AlternateContent>
        <mc:AlternateContent xmlns:mc="http://schemas.openxmlformats.org/markup-compatibility/2006">
          <mc:Choice Requires="x14">
            <control shapeId="2173" r:id="rId23" name="Check Box 125">
              <controlPr defaultSize="0" autoFill="0" autoLine="0" autoPict="0">
                <anchor moveWithCells="1">
                  <from>
                    <xdr:col>3</xdr:col>
                    <xdr:colOff>1466850</xdr:colOff>
                    <xdr:row>121</xdr:row>
                    <xdr:rowOff>9525</xdr:rowOff>
                  </from>
                  <to>
                    <xdr:col>3</xdr:col>
                    <xdr:colOff>2133600</xdr:colOff>
                    <xdr:row>122</xdr:row>
                    <xdr:rowOff>0</xdr:rowOff>
                  </to>
                </anchor>
              </controlPr>
            </control>
          </mc:Choice>
        </mc:AlternateContent>
        <mc:AlternateContent xmlns:mc="http://schemas.openxmlformats.org/markup-compatibility/2006">
          <mc:Choice Requires="x14">
            <control shapeId="2184" r:id="rId24" name="Check Box 136">
              <controlPr defaultSize="0" autoFill="0" autoLine="0" autoPict="0">
                <anchor moveWithCells="1">
                  <from>
                    <xdr:col>2</xdr:col>
                    <xdr:colOff>790575</xdr:colOff>
                    <xdr:row>95</xdr:row>
                    <xdr:rowOff>9525</xdr:rowOff>
                  </from>
                  <to>
                    <xdr:col>2</xdr:col>
                    <xdr:colOff>1457325</xdr:colOff>
                    <xdr:row>95</xdr:row>
                    <xdr:rowOff>390525</xdr:rowOff>
                  </to>
                </anchor>
              </controlPr>
            </control>
          </mc:Choice>
        </mc:AlternateContent>
        <mc:AlternateContent xmlns:mc="http://schemas.openxmlformats.org/markup-compatibility/2006">
          <mc:Choice Requires="x14">
            <control shapeId="2185" r:id="rId25" name="Check Box 137">
              <controlPr defaultSize="0" autoFill="0" autoLine="0" autoPict="0">
                <anchor moveWithCells="1">
                  <from>
                    <xdr:col>2</xdr:col>
                    <xdr:colOff>1466850</xdr:colOff>
                    <xdr:row>95</xdr:row>
                    <xdr:rowOff>9525</xdr:rowOff>
                  </from>
                  <to>
                    <xdr:col>2</xdr:col>
                    <xdr:colOff>2133600</xdr:colOff>
                    <xdr:row>95</xdr:row>
                    <xdr:rowOff>390525</xdr:rowOff>
                  </to>
                </anchor>
              </controlPr>
            </control>
          </mc:Choice>
        </mc:AlternateContent>
        <mc:AlternateContent xmlns:mc="http://schemas.openxmlformats.org/markup-compatibility/2006">
          <mc:Choice Requires="x14">
            <control shapeId="2186" r:id="rId26" name="Check Box 138">
              <controlPr defaultSize="0" autoFill="0" autoLine="0" autoPict="0">
                <anchor moveWithCells="1">
                  <from>
                    <xdr:col>2</xdr:col>
                    <xdr:colOff>790575</xdr:colOff>
                    <xdr:row>96</xdr:row>
                    <xdr:rowOff>9525</xdr:rowOff>
                  </from>
                  <to>
                    <xdr:col>2</xdr:col>
                    <xdr:colOff>1457325</xdr:colOff>
                    <xdr:row>96</xdr:row>
                    <xdr:rowOff>390525</xdr:rowOff>
                  </to>
                </anchor>
              </controlPr>
            </control>
          </mc:Choice>
        </mc:AlternateContent>
        <mc:AlternateContent xmlns:mc="http://schemas.openxmlformats.org/markup-compatibility/2006">
          <mc:Choice Requires="x14">
            <control shapeId="2187" r:id="rId27" name="Check Box 139">
              <controlPr defaultSize="0" autoFill="0" autoLine="0" autoPict="0">
                <anchor moveWithCells="1">
                  <from>
                    <xdr:col>2</xdr:col>
                    <xdr:colOff>1466850</xdr:colOff>
                    <xdr:row>96</xdr:row>
                    <xdr:rowOff>9525</xdr:rowOff>
                  </from>
                  <to>
                    <xdr:col>2</xdr:col>
                    <xdr:colOff>2133600</xdr:colOff>
                    <xdr:row>96</xdr:row>
                    <xdr:rowOff>390525</xdr:rowOff>
                  </to>
                </anchor>
              </controlPr>
            </control>
          </mc:Choice>
        </mc:AlternateContent>
        <mc:AlternateContent xmlns:mc="http://schemas.openxmlformats.org/markup-compatibility/2006">
          <mc:Choice Requires="x14">
            <control shapeId="2201" r:id="rId28" name="Check Box 153">
              <controlPr defaultSize="0" autoFill="0" autoLine="0" autoPict="0">
                <anchor moveWithCells="1">
                  <from>
                    <xdr:col>3</xdr:col>
                    <xdr:colOff>1485900</xdr:colOff>
                    <xdr:row>113</xdr:row>
                    <xdr:rowOff>0</xdr:rowOff>
                  </from>
                  <to>
                    <xdr:col>4</xdr:col>
                    <xdr:colOff>485775</xdr:colOff>
                    <xdr:row>114</xdr:row>
                    <xdr:rowOff>0</xdr:rowOff>
                  </to>
                </anchor>
              </controlPr>
            </control>
          </mc:Choice>
        </mc:AlternateContent>
        <mc:AlternateContent xmlns:mc="http://schemas.openxmlformats.org/markup-compatibility/2006">
          <mc:Choice Requires="x14">
            <control shapeId="2202" r:id="rId29" name="Check Box 154">
              <controlPr defaultSize="0" autoFill="0" autoLine="0" autoPict="0">
                <anchor moveWithCells="1">
                  <from>
                    <xdr:col>4</xdr:col>
                    <xdr:colOff>504825</xdr:colOff>
                    <xdr:row>113</xdr:row>
                    <xdr:rowOff>0</xdr:rowOff>
                  </from>
                  <to>
                    <xdr:col>4</xdr:col>
                    <xdr:colOff>2219325</xdr:colOff>
                    <xdr:row>114</xdr:row>
                    <xdr:rowOff>0</xdr:rowOff>
                  </to>
                </anchor>
              </controlPr>
            </control>
          </mc:Choice>
        </mc:AlternateContent>
        <mc:AlternateContent xmlns:mc="http://schemas.openxmlformats.org/markup-compatibility/2006">
          <mc:Choice Requires="x14">
            <control shapeId="2203" r:id="rId30" name="Check Box 155">
              <controlPr defaultSize="0" autoFill="0" autoLine="0" autoPict="0">
                <anchor moveWithCells="1">
                  <from>
                    <xdr:col>3</xdr:col>
                    <xdr:colOff>790575</xdr:colOff>
                    <xdr:row>122</xdr:row>
                    <xdr:rowOff>9525</xdr:rowOff>
                  </from>
                  <to>
                    <xdr:col>3</xdr:col>
                    <xdr:colOff>1457325</xdr:colOff>
                    <xdr:row>123</xdr:row>
                    <xdr:rowOff>0</xdr:rowOff>
                  </to>
                </anchor>
              </controlPr>
            </control>
          </mc:Choice>
        </mc:AlternateContent>
        <mc:AlternateContent xmlns:mc="http://schemas.openxmlformats.org/markup-compatibility/2006">
          <mc:Choice Requires="x14">
            <control shapeId="2204" r:id="rId31" name="Check Box 156">
              <controlPr defaultSize="0" autoFill="0" autoLine="0" autoPict="0">
                <anchor moveWithCells="1">
                  <from>
                    <xdr:col>3</xdr:col>
                    <xdr:colOff>1466850</xdr:colOff>
                    <xdr:row>122</xdr:row>
                    <xdr:rowOff>9525</xdr:rowOff>
                  </from>
                  <to>
                    <xdr:col>3</xdr:col>
                    <xdr:colOff>2133600</xdr:colOff>
                    <xdr:row>123</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autoPageBreaks="0"/>
  </sheetPr>
  <dimension ref="B1:AL54"/>
  <sheetViews>
    <sheetView showGridLines="0" showRowColHeaders="0" tabSelected="1" zoomScaleNormal="100" workbookViewId="0">
      <pane ySplit="6" topLeftCell="A7" activePane="bottomLeft" state="frozen"/>
      <selection pane="bottomLeft" activeCell="D9" sqref="D9"/>
    </sheetView>
  </sheetViews>
  <sheetFormatPr defaultColWidth="9.140625" defaultRowHeight="14.25" x14ac:dyDescent="0.2"/>
  <cols>
    <col min="1" max="1" width="9.140625" style="1"/>
    <col min="2" max="2" width="80.7109375" style="1" customWidth="1"/>
    <col min="3" max="4" width="40.7109375" style="1" customWidth="1"/>
    <col min="5" max="7" width="9.140625" style="1"/>
    <col min="8" max="10" width="9.140625" style="1" customWidth="1"/>
    <col min="11" max="11" width="9.140625" style="1" hidden="1" customWidth="1"/>
    <col min="12" max="12" width="14.85546875" style="1" hidden="1" customWidth="1"/>
    <col min="13" max="13" width="9.7109375" style="36" hidden="1" customWidth="1"/>
    <col min="14" max="16" width="9.140625" style="1" hidden="1" customWidth="1"/>
    <col min="17" max="17" width="9.7109375" style="1" hidden="1" customWidth="1"/>
    <col min="18" max="38" width="9.140625" style="1" hidden="1" customWidth="1"/>
    <col min="39" max="16384" width="9.140625" style="1"/>
  </cols>
  <sheetData>
    <row r="1" spans="2:16" ht="12.75" customHeight="1" x14ac:dyDescent="0.2">
      <c r="H1" s="19"/>
    </row>
    <row r="2" spans="2:16" ht="12.75" customHeight="1" x14ac:dyDescent="0.2">
      <c r="H2" s="19"/>
    </row>
    <row r="3" spans="2:16" ht="12.75" customHeight="1" x14ac:dyDescent="0.2">
      <c r="H3" s="19"/>
    </row>
    <row r="4" spans="2:16" ht="12.75" customHeight="1" x14ac:dyDescent="0.2">
      <c r="H4" s="19"/>
    </row>
    <row r="5" spans="2:16" ht="12.75" customHeight="1" x14ac:dyDescent="0.2">
      <c r="H5" s="19"/>
    </row>
    <row r="6" spans="2:16" x14ac:dyDescent="0.2">
      <c r="H6" s="19"/>
    </row>
    <row r="7" spans="2:16" ht="15" thickBot="1" x14ac:dyDescent="0.25">
      <c r="H7" s="19"/>
    </row>
    <row r="8" spans="2:16" ht="56.1" customHeight="1" thickBot="1" x14ac:dyDescent="0.25">
      <c r="B8" s="602" t="s">
        <v>554</v>
      </c>
      <c r="C8" s="622" t="s">
        <v>37</v>
      </c>
      <c r="D8" s="623" t="s">
        <v>562</v>
      </c>
      <c r="H8" s="19"/>
    </row>
    <row r="9" spans="2:16" s="11" customFormat="1" ht="120" customHeight="1" thickBot="1" x14ac:dyDescent="0.25">
      <c r="B9" s="404" t="s">
        <v>638</v>
      </c>
      <c r="C9" s="321" t="str">
        <f>IF((N9&amp;" "&amp;O9)="TRUE TRUE","Please select only one option","")</f>
        <v/>
      </c>
      <c r="D9" s="567"/>
      <c r="E9" s="48" t="str">
        <f>IF(M9=1,"*","")</f>
        <v>*</v>
      </c>
      <c r="H9" s="19"/>
      <c r="M9" s="36">
        <f>IF((N9&amp;" "&amp;O9)="FALSE FALSE",1,IF((N9&amp;" "&amp;O9)="TRUE TRUE",1,IF((N9&amp;" "&amp;O9)="TRUE FALSE",0,IF((N9&amp;" "&amp;O9)="FALSE TRUE",IF(ISNUMBER(D9)=FALSE,1,0)))))</f>
        <v>1</v>
      </c>
      <c r="N9" s="79" t="b">
        <v>0</v>
      </c>
      <c r="O9" s="79" t="b">
        <v>0</v>
      </c>
      <c r="P9" s="11">
        <f>IF((N9&amp;" "&amp;O9)="TRUE FALSE",1,0)</f>
        <v>0</v>
      </c>
    </row>
    <row r="10" spans="2:16" x14ac:dyDescent="0.2">
      <c r="B10" s="20"/>
      <c r="C10" s="70"/>
      <c r="H10" s="19"/>
    </row>
    <row r="11" spans="2:16" x14ac:dyDescent="0.2">
      <c r="B11" s="20"/>
      <c r="C11" s="70"/>
      <c r="H11" s="19"/>
    </row>
    <row r="12" spans="2:16" ht="15" thickBot="1" x14ac:dyDescent="0.25">
      <c r="B12" s="20"/>
      <c r="H12" s="19"/>
    </row>
    <row r="13" spans="2:16" ht="42" customHeight="1" x14ac:dyDescent="0.2">
      <c r="B13" s="130" t="s">
        <v>725</v>
      </c>
      <c r="C13" s="819" t="s">
        <v>713</v>
      </c>
      <c r="D13" s="820"/>
      <c r="E13" s="214"/>
      <c r="F13" s="55"/>
      <c r="G13" s="55"/>
      <c r="H13" s="55"/>
      <c r="I13" s="19"/>
      <c r="M13" s="1"/>
      <c r="N13" s="36"/>
    </row>
    <row r="14" spans="2:16" ht="48" customHeight="1" x14ac:dyDescent="0.2">
      <c r="B14" s="114" t="s">
        <v>726</v>
      </c>
      <c r="C14" s="821" t="str">
        <f>IF((N14&amp;" "&amp;O14)="TRUE TRUE","Please select only one option","")</f>
        <v/>
      </c>
      <c r="D14" s="822"/>
      <c r="E14" s="94" t="str">
        <f>IF(M14=1,"*","")</f>
        <v>*</v>
      </c>
      <c r="F14" s="48"/>
      <c r="G14" s="55"/>
      <c r="H14" s="55"/>
      <c r="I14" s="19"/>
      <c r="M14" s="36">
        <f>IF((N14&amp;" "&amp;O14)="TRUE FALSE",0,IF((N14&amp;" "&amp;O14)="FALSE TRUE",0,1))</f>
        <v>1</v>
      </c>
      <c r="N14" s="79" t="b">
        <v>0</v>
      </c>
      <c r="O14" s="79" t="b">
        <v>0</v>
      </c>
      <c r="P14" s="11" t="str">
        <f>IF((N14&amp;" "&amp;O14)="TRUE FALSE","Yes",IF((N14&amp;" "&amp;O14)="FALSE TRUE","No",""))</f>
        <v/>
      </c>
    </row>
    <row r="15" spans="2:16" ht="56.1" customHeight="1" x14ac:dyDescent="0.2">
      <c r="B15" s="593" t="s">
        <v>710</v>
      </c>
      <c r="C15" s="677"/>
      <c r="D15" s="823"/>
      <c r="E15" s="94" t="str">
        <f>IF(M15=1,"*","")</f>
        <v/>
      </c>
      <c r="F15" s="48"/>
      <c r="G15" s="55"/>
      <c r="H15" s="55"/>
      <c r="I15" s="19"/>
      <c r="M15" s="36">
        <f>IF(P14="Yes",IF(ISTEXT(C15)=TRUE,0,1),0)</f>
        <v>0</v>
      </c>
      <c r="N15" s="79"/>
      <c r="O15" s="79"/>
      <c r="P15" s="11"/>
    </row>
    <row r="16" spans="2:16" ht="56.1" customHeight="1" thickBot="1" x14ac:dyDescent="0.25">
      <c r="B16" s="594" t="s">
        <v>712</v>
      </c>
      <c r="C16" s="824"/>
      <c r="D16" s="825"/>
      <c r="E16" s="94" t="str">
        <f>IF(M16=1,"*","")</f>
        <v/>
      </c>
      <c r="F16" s="48"/>
      <c r="G16" s="55"/>
      <c r="H16" s="55"/>
      <c r="I16" s="19"/>
      <c r="M16" s="36">
        <f>IF(P14="No",IF(ISNUMBER(C16)=TRUE,0,1),0)+IF(P14="",IF(ISBLANK(C16)=TRUE,0,1),0)</f>
        <v>0</v>
      </c>
      <c r="N16" s="79"/>
      <c r="O16" s="79"/>
      <c r="P16" s="11"/>
    </row>
    <row r="17" spans="2:18" ht="15.95" customHeight="1" x14ac:dyDescent="0.2">
      <c r="B17" s="214"/>
      <c r="C17" s="358"/>
      <c r="D17" s="48"/>
      <c r="E17" s="48"/>
      <c r="F17" s="55"/>
      <c r="G17" s="55"/>
      <c r="H17" s="19"/>
      <c r="N17" s="79"/>
      <c r="O17" s="79"/>
      <c r="P17" s="11"/>
    </row>
    <row r="18" spans="2:18" ht="15.95" customHeight="1" x14ac:dyDescent="0.2">
      <c r="B18" s="333" t="str">
        <f>IF(P14="No",IF(ISNUMBER(C16)=TRUE,"Please note that your application will not proceed until all the revelant documentation is submitted",""),"")</f>
        <v/>
      </c>
      <c r="C18" s="413"/>
      <c r="D18" s="455"/>
      <c r="E18" s="48"/>
      <c r="F18" s="55"/>
      <c r="G18" s="55"/>
      <c r="H18" s="19"/>
      <c r="L18" s="38" t="s">
        <v>667</v>
      </c>
      <c r="M18" s="38" t="str">
        <f>IF(SUM(M9:M16)&lt;&gt;0,"Invalid","Valid")</f>
        <v>Invalid</v>
      </c>
      <c r="N18" s="79"/>
      <c r="O18" s="79"/>
      <c r="P18" s="11"/>
    </row>
    <row r="19" spans="2:18" ht="15.95" customHeight="1" thickBot="1" x14ac:dyDescent="0.25">
      <c r="B19" s="214"/>
      <c r="C19" s="358"/>
      <c r="D19" s="48"/>
      <c r="E19" s="48"/>
      <c r="F19" s="55"/>
      <c r="G19" s="55"/>
      <c r="H19" s="19"/>
      <c r="N19" s="79"/>
      <c r="O19" s="79"/>
      <c r="P19" s="11"/>
    </row>
    <row r="20" spans="2:18" ht="39.950000000000003" customHeight="1" thickBot="1" x14ac:dyDescent="0.25">
      <c r="B20" s="602" t="s">
        <v>732</v>
      </c>
      <c r="C20" s="622" t="s">
        <v>38</v>
      </c>
      <c r="D20" s="623" t="s">
        <v>39</v>
      </c>
      <c r="H20" s="19"/>
    </row>
    <row r="21" spans="2:18" ht="48" customHeight="1" x14ac:dyDescent="0.2">
      <c r="B21" s="305" t="s">
        <v>851</v>
      </c>
      <c r="C21" s="245" t="str">
        <f>IF((N21&amp;" "&amp;O21)="TRUE TRUE","Please select only one option","")</f>
        <v/>
      </c>
      <c r="D21" s="306"/>
      <c r="E21" s="48" t="str">
        <f>IF(M21=1,"*","")</f>
        <v>*</v>
      </c>
      <c r="F21" s="55"/>
      <c r="G21" s="55"/>
      <c r="H21" s="19"/>
      <c r="M21" s="36">
        <f>IF((N21&amp;" "&amp;O21)="FALSE FALSE",1,IF((N21&amp;" "&amp;O21)="TRUE FALSE",0,IF((N21&amp;" "&amp;O21)="FALSE TRUE",0,1)))</f>
        <v>1</v>
      </c>
      <c r="N21" s="79" t="b">
        <v>0</v>
      </c>
      <c r="O21" s="79" t="b">
        <v>0</v>
      </c>
      <c r="P21" s="11" t="str">
        <f>IF((N21&amp;" "&amp;O21)="TRUE FALSE","Yes",IF((N21&amp;" "&amp;O21)="FALSE TRUE","No",""))</f>
        <v/>
      </c>
    </row>
    <row r="22" spans="2:18" s="11" customFormat="1" ht="48" customHeight="1" x14ac:dyDescent="0.2">
      <c r="B22" s="302" t="s">
        <v>639</v>
      </c>
      <c r="C22" s="269"/>
      <c r="D22" s="307"/>
      <c r="E22" s="48" t="str">
        <f>IF(M22=1,"*","")</f>
        <v/>
      </c>
      <c r="H22" s="19"/>
      <c r="M22" s="36">
        <f>IF(P21="Yes",IF(ISNUMBER(C22)=TRUE,0,1),0)</f>
        <v>0</v>
      </c>
    </row>
    <row r="23" spans="2:18" ht="80.099999999999994" customHeight="1" x14ac:dyDescent="0.2">
      <c r="B23" s="303" t="s">
        <v>852</v>
      </c>
      <c r="C23" s="352" t="str">
        <f>IF((N23&amp;" "&amp;O23)="TRUE TRUE","Please select only one option","")</f>
        <v/>
      </c>
      <c r="D23" s="466"/>
      <c r="E23" s="48" t="str">
        <f>IF(M23=1,"*","")</f>
        <v>*</v>
      </c>
      <c r="F23" s="11"/>
      <c r="G23" s="11"/>
      <c r="H23" s="19"/>
      <c r="M23" s="36">
        <f>IF(P21="No",0,IF((N23&amp;" "&amp;O23)="FALSE FALSE",1,IF((N23&amp;" "&amp;O23)="TRUE FALSE",0,IF((N23&amp;" "&amp;O23)="FALSE TRUE",0,1)))+Q23)</f>
        <v>1</v>
      </c>
      <c r="N23" s="79" t="b">
        <v>0</v>
      </c>
      <c r="O23" s="79" t="b">
        <v>0</v>
      </c>
      <c r="P23" s="11" t="str">
        <f>IF((N23&amp;" "&amp;O23)="TRUE FALSE","Yes",IF((N23&amp;" "&amp;O23)="FALSE TRUE","No",""))</f>
        <v/>
      </c>
      <c r="Q23" s="32">
        <f>IF(P23="No",IF(ISNUMBER(D23)=TRUE,0,1),0)</f>
        <v>0</v>
      </c>
      <c r="R23" s="11"/>
    </row>
    <row r="24" spans="2:18" ht="168" customHeight="1" x14ac:dyDescent="0.2">
      <c r="B24" s="284" t="s">
        <v>644</v>
      </c>
      <c r="C24" s="352" t="str">
        <f>IF((N24&amp;" "&amp;O24)="TRUE TRUE","Please select only one option","")</f>
        <v/>
      </c>
      <c r="D24" s="466"/>
      <c r="E24" s="48" t="str">
        <f>IF(M24=1,"*","")</f>
        <v>*</v>
      </c>
      <c r="F24" s="11"/>
      <c r="G24" s="11"/>
      <c r="H24" s="19"/>
      <c r="M24" s="36">
        <f>IF(P21="No",0,IF((N24&amp;" "&amp;O24)="FALSE FALSE",1,IF((N24&amp;" "&amp;O24)="TRUE FALSE",0,IF((N24&amp;" "&amp;O24)="FALSE TRUE",0,1)))+Q24)</f>
        <v>1</v>
      </c>
      <c r="N24" s="79" t="b">
        <v>0</v>
      </c>
      <c r="O24" s="79" t="b">
        <v>0</v>
      </c>
      <c r="P24" s="11" t="str">
        <f>IF((N24&amp;" "&amp;O24)="TRUE FALSE","Yes",IF((N24&amp;" "&amp;O24)="FALSE TRUE","No",""))</f>
        <v/>
      </c>
      <c r="Q24" s="32">
        <f>IF(P24="No",IF(ISNUMBER(D24)=TRUE,0,1),0)</f>
        <v>0</v>
      </c>
      <c r="R24" s="11"/>
    </row>
    <row r="25" spans="2:18" ht="48" customHeight="1" thickBot="1" x14ac:dyDescent="0.25">
      <c r="B25" s="253" t="s">
        <v>678</v>
      </c>
      <c r="C25" s="290"/>
      <c r="D25" s="308"/>
      <c r="E25" s="48" t="str">
        <f>IF(M25=1,"*","")</f>
        <v/>
      </c>
      <c r="H25" s="19"/>
      <c r="M25" s="36">
        <f>IF(P21="Yes",IF(ISERROR(EXACT(VLOOKUP(C25,Frequency,1,FALSE),C25)),1,0),0)</f>
        <v>0</v>
      </c>
    </row>
    <row r="26" spans="2:18" ht="15" x14ac:dyDescent="0.2">
      <c r="B26" s="71"/>
      <c r="C26" s="71"/>
      <c r="D26" s="71"/>
      <c r="H26" s="19"/>
    </row>
    <row r="27" spans="2:18" ht="15" thickBot="1" x14ac:dyDescent="0.25">
      <c r="B27" s="282" t="s">
        <v>733</v>
      </c>
      <c r="H27" s="19"/>
    </row>
    <row r="28" spans="2:18" ht="42" customHeight="1" x14ac:dyDescent="0.2">
      <c r="B28" s="752"/>
      <c r="C28" s="828"/>
      <c r="D28" s="753"/>
      <c r="E28" s="831" t="str">
        <f>IF(C25="Other (Please state below)",IF(B28="","*",""),"")</f>
        <v/>
      </c>
      <c r="F28" s="51"/>
      <c r="G28" s="51"/>
      <c r="H28" s="19"/>
    </row>
    <row r="29" spans="2:18" ht="42" customHeight="1" thickBot="1" x14ac:dyDescent="0.25">
      <c r="B29" s="756"/>
      <c r="C29" s="830"/>
      <c r="D29" s="757"/>
      <c r="E29" s="831"/>
      <c r="F29" s="51"/>
      <c r="G29" s="51"/>
      <c r="H29" s="19"/>
    </row>
    <row r="30" spans="2:18" ht="15" x14ac:dyDescent="0.2">
      <c r="B30" s="833"/>
      <c r="C30" s="833"/>
      <c r="D30" s="833"/>
      <c r="F30" s="51"/>
      <c r="G30" s="51"/>
      <c r="H30" s="19"/>
    </row>
    <row r="31" spans="2:18" x14ac:dyDescent="0.2">
      <c r="B31" s="227" t="str">
        <f>IF(P21="No","If No is selected then rest of the questions in Section 5.2 do not apply","")</f>
        <v/>
      </c>
      <c r="C31" s="301"/>
      <c r="D31" s="301"/>
      <c r="H31" s="19"/>
      <c r="L31" s="69" t="s">
        <v>667</v>
      </c>
      <c r="M31" s="38" t="str">
        <f>IF(SUM(M20:M28)&lt;&gt;0,"Invalid","Valid")</f>
        <v>Invalid</v>
      </c>
    </row>
    <row r="32" spans="2:18" ht="15" thickBot="1" x14ac:dyDescent="0.25">
      <c r="B32" s="86"/>
      <c r="H32" s="19"/>
    </row>
    <row r="33" spans="2:18" ht="39.950000000000003" customHeight="1" thickBot="1" x14ac:dyDescent="0.25">
      <c r="B33" s="624" t="s">
        <v>563</v>
      </c>
      <c r="C33" s="622" t="s">
        <v>40</v>
      </c>
      <c r="D33" s="623" t="s">
        <v>39</v>
      </c>
      <c r="H33" s="19"/>
    </row>
    <row r="34" spans="2:18" ht="48" customHeight="1" x14ac:dyDescent="0.2">
      <c r="B34" s="328" t="s">
        <v>640</v>
      </c>
      <c r="C34" s="247" t="str">
        <f>IF((N34&amp;" "&amp;O34)="TRUE TRUE","Please select only one option","")</f>
        <v/>
      </c>
      <c r="D34" s="329"/>
      <c r="E34" s="48" t="str">
        <f>IF(M34=1,"*","")</f>
        <v>*</v>
      </c>
      <c r="F34" s="11"/>
      <c r="G34" s="11"/>
      <c r="H34" s="19"/>
      <c r="M34" s="36">
        <f>IF((N34&amp;" "&amp;O34)="TRUE FALSE",0,IF((N34&amp;" "&amp;O34)="FALSE TRUE",0,1))</f>
        <v>1</v>
      </c>
      <c r="N34" s="79" t="b">
        <v>0</v>
      </c>
      <c r="O34" s="79" t="b">
        <v>0</v>
      </c>
      <c r="P34" s="11" t="str">
        <f>IF((N34&amp;" "&amp;O34)="TRUE FALSE","Yes",IF((N34&amp;" "&amp;O34)="FALSE TRUE","No",""))</f>
        <v/>
      </c>
    </row>
    <row r="35" spans="2:18" ht="87.95" customHeight="1" x14ac:dyDescent="0.2">
      <c r="B35" s="323" t="s">
        <v>679</v>
      </c>
      <c r="C35" s="288"/>
      <c r="D35" s="322"/>
      <c r="E35" s="48" t="str">
        <f>IF(M35=1,"*","")</f>
        <v/>
      </c>
      <c r="F35" s="11"/>
      <c r="G35" s="11"/>
      <c r="H35" s="19"/>
      <c r="I35" s="11"/>
      <c r="J35" s="11"/>
      <c r="K35" s="11"/>
      <c r="L35" s="11"/>
      <c r="M35" s="36">
        <f>IF(P34="Yes",IF(ISNUMBER(C35)=TRUE,0,1),0)</f>
        <v>0</v>
      </c>
    </row>
    <row r="36" spans="2:18" ht="87.95" customHeight="1" x14ac:dyDescent="0.2">
      <c r="B36" s="350" t="s">
        <v>641</v>
      </c>
      <c r="C36" s="443"/>
      <c r="D36" s="322"/>
      <c r="E36" s="48" t="str">
        <f>IF(M36=1,"*","")</f>
        <v/>
      </c>
      <c r="G36" s="11"/>
      <c r="H36" s="19"/>
      <c r="M36" s="36">
        <f>IF(P34="Yes",IF(Q36=1,1,0),0)</f>
        <v>0</v>
      </c>
      <c r="N36" s="79" t="b">
        <v>0</v>
      </c>
      <c r="O36" s="79" t="b">
        <v>0</v>
      </c>
      <c r="P36" s="11" t="str">
        <f>IF((N36&amp;" "&amp;O36)="TRUE FALSE","Yes",IF((N36&amp;" "&amp;O36)="FALSE TRUE","No",""))</f>
        <v/>
      </c>
      <c r="Q36" s="32">
        <f>IF((N36&amp;" "&amp;O36)="FALSE FALSE",1,0)</f>
        <v>1</v>
      </c>
      <c r="R36" s="11"/>
    </row>
    <row r="37" spans="2:18" ht="87.95" customHeight="1" x14ac:dyDescent="0.2">
      <c r="B37" s="323" t="s">
        <v>642</v>
      </c>
      <c r="C37" s="324" t="str">
        <f>IF((N37&amp;" "&amp;O37)="TRUE TRUE","Please select only one option","")</f>
        <v/>
      </c>
      <c r="D37" s="466"/>
      <c r="E37" s="48" t="str">
        <f>IF(M37=1,"*","")</f>
        <v/>
      </c>
      <c r="F37" s="11"/>
      <c r="G37" s="11"/>
      <c r="H37" s="19"/>
      <c r="M37" s="36">
        <f>IF(P34="Yes",IF((N37&amp;" "&amp;O37)="FALSE FALSE",1,IF((N37&amp;" "&amp;O37)="TRUE FALSE",0,IF((N37&amp;" "&amp;O37)="FALSE TRUE",0,1))))+Q37</f>
        <v>0</v>
      </c>
      <c r="N37" s="79" t="b">
        <v>0</v>
      </c>
      <c r="O37" s="79" t="b">
        <v>0</v>
      </c>
      <c r="P37" s="11" t="str">
        <f>IF((N37&amp;" "&amp;O37)="TRUE FALSE","Yes",IF((N37&amp;" "&amp;O37)="FALSE TRUE","No",""))</f>
        <v/>
      </c>
      <c r="Q37" s="32">
        <f>IF(P37="No",IF(ISNUMBER(D37)=TRUE,0,1),0)</f>
        <v>0</v>
      </c>
      <c r="R37" s="11"/>
    </row>
    <row r="38" spans="2:18" ht="111.95" customHeight="1" x14ac:dyDescent="0.2">
      <c r="B38" s="325" t="s">
        <v>643</v>
      </c>
      <c r="C38" s="324" t="str">
        <f>IF((N38&amp;" "&amp;O38)="TRUE TRUE","Please select only one option","")</f>
        <v/>
      </c>
      <c r="D38" s="466"/>
      <c r="E38" s="48" t="str">
        <f>IF(M38=1,"*","")</f>
        <v/>
      </c>
      <c r="F38" s="11"/>
      <c r="G38" s="11"/>
      <c r="H38" s="19"/>
      <c r="M38" s="36">
        <f>IF(P34="Yes",IF((N38&amp;" "&amp;O38)="FALSE FALSE",1,IF((N38&amp;" "&amp;O38)="TRUE FALSE",0,IF((N38&amp;" "&amp;O38)="FALSE TRUE",0,1))))+Q38</f>
        <v>0</v>
      </c>
      <c r="N38" s="79" t="b">
        <v>0</v>
      </c>
      <c r="O38" s="79" t="b">
        <v>0</v>
      </c>
      <c r="P38" s="11" t="str">
        <f>IF((N38&amp;" "&amp;O38)="TRUE FALSE","Yes",IF((N38&amp;" "&amp;O38)="FALSE TRUE","No",""))</f>
        <v/>
      </c>
      <c r="Q38" s="32">
        <f>IF(P38="No",IF(ISNUMBER(D38)=TRUE,0,1),0)</f>
        <v>0</v>
      </c>
      <c r="R38" s="11"/>
    </row>
    <row r="39" spans="2:18" ht="48" customHeight="1" thickBot="1" x14ac:dyDescent="0.25">
      <c r="B39" s="326" t="s">
        <v>680</v>
      </c>
      <c r="C39" s="290"/>
      <c r="D39" s="327"/>
      <c r="E39" s="48" t="str">
        <f t="shared" ref="E39" si="0">IF(M39=1,"*","")</f>
        <v/>
      </c>
      <c r="H39" s="19"/>
      <c r="M39" s="36">
        <f>IF(P34="Yes",IF(ISERROR(EXACT(VLOOKUP(C39,Frequency,1,FALSE),C39)),1,0),0)</f>
        <v>0</v>
      </c>
    </row>
    <row r="40" spans="2:18" x14ac:dyDescent="0.2">
      <c r="B40" s="11"/>
      <c r="H40" s="19"/>
    </row>
    <row r="41" spans="2:18" ht="15" thickBot="1" x14ac:dyDescent="0.25">
      <c r="B41" s="282" t="s">
        <v>681</v>
      </c>
      <c r="H41" s="19"/>
    </row>
    <row r="42" spans="2:18" ht="39.950000000000003" customHeight="1" x14ac:dyDescent="0.2">
      <c r="B42" s="827"/>
      <c r="C42" s="828"/>
      <c r="D42" s="753"/>
      <c r="E42" s="832" t="str">
        <f>IF(C39="Other (Please state below)",IF(B42="","*",""),"")</f>
        <v/>
      </c>
      <c r="F42" s="51"/>
      <c r="G42" s="51"/>
      <c r="H42" s="19"/>
    </row>
    <row r="43" spans="2:18" ht="39.950000000000003" customHeight="1" thickBot="1" x14ac:dyDescent="0.25">
      <c r="B43" s="829"/>
      <c r="C43" s="830"/>
      <c r="D43" s="757"/>
      <c r="E43" s="832"/>
      <c r="F43" s="51"/>
      <c r="G43" s="51"/>
      <c r="H43" s="19"/>
    </row>
    <row r="44" spans="2:18" ht="15" thickBot="1" x14ac:dyDescent="0.25">
      <c r="H44" s="19"/>
    </row>
    <row r="45" spans="2:18" ht="48" customHeight="1" x14ac:dyDescent="0.2">
      <c r="B45" s="125" t="s">
        <v>725</v>
      </c>
      <c r="C45" s="826" t="s">
        <v>713</v>
      </c>
      <c r="D45" s="728"/>
      <c r="I45" s="19"/>
      <c r="M45" s="1"/>
      <c r="N45" s="36"/>
    </row>
    <row r="46" spans="2:18" ht="48" customHeight="1" x14ac:dyDescent="0.2">
      <c r="B46" s="114" t="s">
        <v>727</v>
      </c>
      <c r="C46" s="838" t="str">
        <f>IF((N46&amp;" "&amp;O46)="TRUE TRUE","Please select only one option","")</f>
        <v/>
      </c>
      <c r="D46" s="839"/>
      <c r="E46" s="94" t="str">
        <f>IF(M46=1,"*","")</f>
        <v/>
      </c>
      <c r="I46" s="19"/>
      <c r="M46" s="36">
        <f>IF(P34="Yes",IF(P46=1,1,0),0)</f>
        <v>0</v>
      </c>
      <c r="N46" s="79" t="b">
        <v>0</v>
      </c>
      <c r="O46" s="79" t="b">
        <v>0</v>
      </c>
      <c r="P46" s="36">
        <f>IF((N46&amp;" "&amp;O46)="FALSE FALSE",1,IF((N46&amp;" "&amp;O46)="TRUE FALSE","Yes",IF((N46&amp;" "&amp;O46)="FALSE TRUE","No",IF((N46&amp;" "&amp;O46)="TRUE TRUE",1,""))))</f>
        <v>1</v>
      </c>
      <c r="Q46" s="11" t="str">
        <f>IF((N46&amp;" "&amp;O46)="FALSE TRUE","No","")</f>
        <v/>
      </c>
    </row>
    <row r="47" spans="2:18" ht="39.950000000000003" customHeight="1" x14ac:dyDescent="0.2">
      <c r="B47" s="444" t="s">
        <v>710</v>
      </c>
      <c r="C47" s="834"/>
      <c r="D47" s="835"/>
      <c r="E47" s="94" t="str">
        <f>IF(M47=1,"*","")</f>
        <v/>
      </c>
      <c r="I47" s="19"/>
      <c r="M47" s="36">
        <f>IF((N46&amp;" "&amp;O46)="TRUE FALSE",IF(ISTEXT(C47)=TRUE,0,1),0)</f>
        <v>0</v>
      </c>
    </row>
    <row r="48" spans="2:18" ht="39.950000000000003" customHeight="1" thickBot="1" x14ac:dyDescent="0.25">
      <c r="B48" s="445" t="s">
        <v>721</v>
      </c>
      <c r="C48" s="836"/>
      <c r="D48" s="837"/>
      <c r="E48" s="94" t="str">
        <f>IF(M48=1,"*","")</f>
        <v/>
      </c>
      <c r="I48" s="19"/>
      <c r="M48" s="36">
        <f>IF(P46="No",IF(ISNUMBER(C48)=TRUE,0,1),0)+IF(P46="",IF(ISBLANK(C48)=TRUE,0,1),0)</f>
        <v>0</v>
      </c>
    </row>
    <row r="49" spans="2:13" x14ac:dyDescent="0.2">
      <c r="C49" s="569"/>
      <c r="H49" s="19"/>
    </row>
    <row r="50" spans="2:13" x14ac:dyDescent="0.2">
      <c r="B50" s="330" t="str">
        <f>IF(Q46="No",IF(ISNUMBER(C48)=TRUE,"Please note that your application will not proceed until all the required documentation is submitted",""),"")</f>
        <v/>
      </c>
      <c r="C50" s="237"/>
      <c r="D50" s="237"/>
      <c r="H50" s="19"/>
      <c r="L50" s="69" t="s">
        <v>667</v>
      </c>
      <c r="M50" s="38" t="str">
        <f>IF(SUM(M34:M48)&lt;&gt;0,"Invalid","Valid")</f>
        <v>Invalid</v>
      </c>
    </row>
    <row r="51" spans="2:13" x14ac:dyDescent="0.2">
      <c r="H51" s="19"/>
    </row>
    <row r="52" spans="2:13" ht="15" x14ac:dyDescent="0.2">
      <c r="B52" s="551" t="str">
        <f>IF(COUNTIF($M$8:M51,"Invalid")=3,"Please Complete all Sections",IF(COUNTIF($M$8:M51,"Invalid")=0,"All Sections Completed",IF(COUNTIF($M$8:M51,"Invalid")&lt;3,"Please Ensure all sections are completed before progressing to the next section")))</f>
        <v>Please Complete all Sections</v>
      </c>
      <c r="C52" s="237"/>
      <c r="D52" s="237"/>
      <c r="H52" s="19"/>
    </row>
    <row r="53" spans="2:13" x14ac:dyDescent="0.2">
      <c r="H53" s="19"/>
    </row>
    <row r="54" spans="2:13" x14ac:dyDescent="0.2">
      <c r="H54" s="19"/>
    </row>
  </sheetData>
  <sheetProtection algorithmName="SHA-512" hashValue="LOtQ9WfSGkRcScyPjXtkhW0cKkSN84oEz6D9ALHqFY9irNMeaVoguDDvpbK6KpEYxRH3Srnvfwu4pu0zPrSOIA==" saltValue="mVRr3aoezv5T/8EzfpmORw==" spinCount="100000" sheet="1" objects="1" scenarios="1" selectLockedCells="1"/>
  <mergeCells count="13">
    <mergeCell ref="E28:E29"/>
    <mergeCell ref="E42:E43"/>
    <mergeCell ref="B30:D30"/>
    <mergeCell ref="C47:D47"/>
    <mergeCell ref="C48:D48"/>
    <mergeCell ref="C46:D46"/>
    <mergeCell ref="C13:D13"/>
    <mergeCell ref="C14:D14"/>
    <mergeCell ref="C15:D15"/>
    <mergeCell ref="C16:D16"/>
    <mergeCell ref="C45:D45"/>
    <mergeCell ref="B42:D43"/>
    <mergeCell ref="B28:D29"/>
  </mergeCells>
  <conditionalFormatting sqref="E13">
    <cfRule type="expression" dxfId="6" priority="11">
      <formula>#REF!=1</formula>
    </cfRule>
  </conditionalFormatting>
  <conditionalFormatting sqref="F13">
    <cfRule type="expression" dxfId="5" priority="15">
      <formula>#REF!=1</formula>
    </cfRule>
  </conditionalFormatting>
  <conditionalFormatting sqref="D9">
    <cfRule type="expression" dxfId="4" priority="5">
      <formula>$P$9=1</formula>
    </cfRule>
  </conditionalFormatting>
  <conditionalFormatting sqref="C22:D25 B28:D29">
    <cfRule type="expression" dxfId="3" priority="4">
      <formula>$P$21="No"</formula>
    </cfRule>
  </conditionalFormatting>
  <conditionalFormatting sqref="C35:D39 B42:D43 C46:C48">
    <cfRule type="expression" dxfId="2" priority="3">
      <formula>$P$34="No"</formula>
    </cfRule>
  </conditionalFormatting>
  <conditionalFormatting sqref="B52">
    <cfRule type="expression" dxfId="1" priority="1">
      <formula>$B$52="All Sections Completed"</formula>
    </cfRule>
  </conditionalFormatting>
  <dataValidations count="7">
    <dataValidation type="date" allowBlank="1" showInputMessage="1" showErrorMessage="1" errorTitle="Outsourcing" error="Please only enter dates in the dd/mm/yyyy format" sqref="D37:D38">
      <formula1>TODAY()+1</formula1>
      <formula2>TODAY()+12500</formula2>
    </dataValidation>
    <dataValidation type="list" allowBlank="1" showInputMessage="1" showErrorMessage="1" sqref="C25 C39">
      <formula1>Frequency</formula1>
    </dataValidation>
    <dataValidation type="whole" allowBlank="1" showInputMessage="1" showErrorMessage="1" sqref="C22 C35">
      <formula1>0</formula1>
      <formula2>1000000</formula2>
    </dataValidation>
    <dataValidation type="date" allowBlank="1" showInputMessage="1" showErrorMessage="1" errorTitle="Assurance testing" error="Please only enter dates in the dd/mm/yyyy format" sqref="D9">
      <formula1>TODAY()+1</formula1>
      <formula2>73050</formula2>
    </dataValidation>
    <dataValidation type="date" allowBlank="1" showInputMessage="1" showErrorMessage="1" errorTitle="Third Party Reliance" error="Please only enter dates in the dd/mm/yyyy format" sqref="D23:D24">
      <formula1>TODAY()+1</formula1>
      <formula2>TODAY()+12500</formula2>
    </dataValidation>
    <dataValidation type="textLength" operator="lessThan" allowBlank="1" showInputMessage="1" showErrorMessage="1" errorTitle="Cell Values" error="Please do not enter any data into this cell_x000a_" sqref="C49">
      <formula1>1</formula1>
    </dataValidation>
    <dataValidation type="date" operator="greaterThanOrEqual" allowBlank="1" showInputMessage="1" showErrorMessage="1" sqref="C48:D48">
      <formula1>TODAY()+1</formula1>
    </dataValidation>
  </dataValidation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7116" r:id="rId4" name="Check Box 12">
              <controlPr defaultSize="0" autoFill="0" autoLine="0" autoPict="0">
                <anchor moveWithCells="1">
                  <from>
                    <xdr:col>2</xdr:col>
                    <xdr:colOff>1609725</xdr:colOff>
                    <xdr:row>13</xdr:row>
                    <xdr:rowOff>9525</xdr:rowOff>
                  </from>
                  <to>
                    <xdr:col>3</xdr:col>
                    <xdr:colOff>695325</xdr:colOff>
                    <xdr:row>14</xdr:row>
                    <xdr:rowOff>0</xdr:rowOff>
                  </to>
                </anchor>
              </controlPr>
            </control>
          </mc:Choice>
        </mc:AlternateContent>
        <mc:AlternateContent xmlns:mc="http://schemas.openxmlformats.org/markup-compatibility/2006">
          <mc:Choice Requires="x14">
            <control shapeId="47118" r:id="rId5" name="Check Box 14">
              <controlPr defaultSize="0" autoFill="0" autoLine="0" autoPict="0">
                <anchor moveWithCells="1">
                  <from>
                    <xdr:col>3</xdr:col>
                    <xdr:colOff>714375</xdr:colOff>
                    <xdr:row>13</xdr:row>
                    <xdr:rowOff>9525</xdr:rowOff>
                  </from>
                  <to>
                    <xdr:col>3</xdr:col>
                    <xdr:colOff>2514600</xdr:colOff>
                    <xdr:row>14</xdr:row>
                    <xdr:rowOff>0</xdr:rowOff>
                  </to>
                </anchor>
              </controlPr>
            </control>
          </mc:Choice>
        </mc:AlternateContent>
        <mc:AlternateContent xmlns:mc="http://schemas.openxmlformats.org/markup-compatibility/2006">
          <mc:Choice Requires="x14">
            <control shapeId="47123" r:id="rId6" name="Check Box 19">
              <controlPr defaultSize="0" autoFill="0" autoLine="0" autoPict="0">
                <anchor moveWithCells="1">
                  <from>
                    <xdr:col>2</xdr:col>
                    <xdr:colOff>809625</xdr:colOff>
                    <xdr:row>22</xdr:row>
                    <xdr:rowOff>9525</xdr:rowOff>
                  </from>
                  <to>
                    <xdr:col>2</xdr:col>
                    <xdr:colOff>1352550</xdr:colOff>
                    <xdr:row>23</xdr:row>
                    <xdr:rowOff>0</xdr:rowOff>
                  </to>
                </anchor>
              </controlPr>
            </control>
          </mc:Choice>
        </mc:AlternateContent>
        <mc:AlternateContent xmlns:mc="http://schemas.openxmlformats.org/markup-compatibility/2006">
          <mc:Choice Requires="x14">
            <control shapeId="47124" r:id="rId7" name="Check Box 20">
              <controlPr defaultSize="0" autoFill="0" autoLine="0" autoPict="0">
                <anchor moveWithCells="1">
                  <from>
                    <xdr:col>2</xdr:col>
                    <xdr:colOff>1476375</xdr:colOff>
                    <xdr:row>22</xdr:row>
                    <xdr:rowOff>9525</xdr:rowOff>
                  </from>
                  <to>
                    <xdr:col>2</xdr:col>
                    <xdr:colOff>2019300</xdr:colOff>
                    <xdr:row>23</xdr:row>
                    <xdr:rowOff>0</xdr:rowOff>
                  </to>
                </anchor>
              </controlPr>
            </control>
          </mc:Choice>
        </mc:AlternateContent>
        <mc:AlternateContent xmlns:mc="http://schemas.openxmlformats.org/markup-compatibility/2006">
          <mc:Choice Requires="x14">
            <control shapeId="47204" r:id="rId8" name="Check Box 100">
              <controlPr defaultSize="0" autoFill="0" autoLine="0" autoPict="0">
                <anchor moveWithCells="1">
                  <from>
                    <xdr:col>2</xdr:col>
                    <xdr:colOff>809625</xdr:colOff>
                    <xdr:row>8</xdr:row>
                    <xdr:rowOff>9525</xdr:rowOff>
                  </from>
                  <to>
                    <xdr:col>2</xdr:col>
                    <xdr:colOff>1476375</xdr:colOff>
                    <xdr:row>9</xdr:row>
                    <xdr:rowOff>0</xdr:rowOff>
                  </to>
                </anchor>
              </controlPr>
            </control>
          </mc:Choice>
        </mc:AlternateContent>
        <mc:AlternateContent xmlns:mc="http://schemas.openxmlformats.org/markup-compatibility/2006">
          <mc:Choice Requires="x14">
            <control shapeId="47205" r:id="rId9" name="Check Box 101">
              <controlPr defaultSize="0" autoFill="0" autoLine="0" autoPict="0">
                <anchor moveWithCells="1">
                  <from>
                    <xdr:col>2</xdr:col>
                    <xdr:colOff>1476375</xdr:colOff>
                    <xdr:row>8</xdr:row>
                    <xdr:rowOff>9525</xdr:rowOff>
                  </from>
                  <to>
                    <xdr:col>2</xdr:col>
                    <xdr:colOff>2143125</xdr:colOff>
                    <xdr:row>9</xdr:row>
                    <xdr:rowOff>0</xdr:rowOff>
                  </to>
                </anchor>
              </controlPr>
            </control>
          </mc:Choice>
        </mc:AlternateContent>
        <mc:AlternateContent xmlns:mc="http://schemas.openxmlformats.org/markup-compatibility/2006">
          <mc:Choice Requires="x14">
            <control shapeId="47206" r:id="rId10" name="Check Box 102">
              <controlPr defaultSize="0" autoFill="0" autoLine="0" autoPict="0">
                <anchor moveWithCells="1">
                  <from>
                    <xdr:col>2</xdr:col>
                    <xdr:colOff>809625</xdr:colOff>
                    <xdr:row>20</xdr:row>
                    <xdr:rowOff>9525</xdr:rowOff>
                  </from>
                  <to>
                    <xdr:col>2</xdr:col>
                    <xdr:colOff>1476375</xdr:colOff>
                    <xdr:row>21</xdr:row>
                    <xdr:rowOff>0</xdr:rowOff>
                  </to>
                </anchor>
              </controlPr>
            </control>
          </mc:Choice>
        </mc:AlternateContent>
        <mc:AlternateContent xmlns:mc="http://schemas.openxmlformats.org/markup-compatibility/2006">
          <mc:Choice Requires="x14">
            <control shapeId="47207" r:id="rId11" name="Check Box 103">
              <controlPr defaultSize="0" autoFill="0" autoLine="0" autoPict="0">
                <anchor moveWithCells="1">
                  <from>
                    <xdr:col>2</xdr:col>
                    <xdr:colOff>1476375</xdr:colOff>
                    <xdr:row>20</xdr:row>
                    <xdr:rowOff>9525</xdr:rowOff>
                  </from>
                  <to>
                    <xdr:col>2</xdr:col>
                    <xdr:colOff>2143125</xdr:colOff>
                    <xdr:row>21</xdr:row>
                    <xdr:rowOff>0</xdr:rowOff>
                  </to>
                </anchor>
              </controlPr>
            </control>
          </mc:Choice>
        </mc:AlternateContent>
        <mc:AlternateContent xmlns:mc="http://schemas.openxmlformats.org/markup-compatibility/2006">
          <mc:Choice Requires="x14">
            <control shapeId="47208" r:id="rId12" name="Check Box 104">
              <controlPr defaultSize="0" autoFill="0" autoLine="0" autoPict="0">
                <anchor moveWithCells="1">
                  <from>
                    <xdr:col>2</xdr:col>
                    <xdr:colOff>809625</xdr:colOff>
                    <xdr:row>33</xdr:row>
                    <xdr:rowOff>9525</xdr:rowOff>
                  </from>
                  <to>
                    <xdr:col>2</xdr:col>
                    <xdr:colOff>1476375</xdr:colOff>
                    <xdr:row>34</xdr:row>
                    <xdr:rowOff>0</xdr:rowOff>
                  </to>
                </anchor>
              </controlPr>
            </control>
          </mc:Choice>
        </mc:AlternateContent>
        <mc:AlternateContent xmlns:mc="http://schemas.openxmlformats.org/markup-compatibility/2006">
          <mc:Choice Requires="x14">
            <control shapeId="47209" r:id="rId13" name="Check Box 105">
              <controlPr defaultSize="0" autoFill="0" autoLine="0" autoPict="0">
                <anchor moveWithCells="1">
                  <from>
                    <xdr:col>2</xdr:col>
                    <xdr:colOff>1476375</xdr:colOff>
                    <xdr:row>33</xdr:row>
                    <xdr:rowOff>9525</xdr:rowOff>
                  </from>
                  <to>
                    <xdr:col>2</xdr:col>
                    <xdr:colOff>2143125</xdr:colOff>
                    <xdr:row>34</xdr:row>
                    <xdr:rowOff>0</xdr:rowOff>
                  </to>
                </anchor>
              </controlPr>
            </control>
          </mc:Choice>
        </mc:AlternateContent>
        <mc:AlternateContent xmlns:mc="http://schemas.openxmlformats.org/markup-compatibility/2006">
          <mc:Choice Requires="x14">
            <control shapeId="47210" r:id="rId14" name="Check Box 106">
              <controlPr defaultSize="0" autoFill="0" autoLine="0" autoPict="0">
                <anchor moveWithCells="1">
                  <from>
                    <xdr:col>2</xdr:col>
                    <xdr:colOff>809625</xdr:colOff>
                    <xdr:row>23</xdr:row>
                    <xdr:rowOff>9525</xdr:rowOff>
                  </from>
                  <to>
                    <xdr:col>2</xdr:col>
                    <xdr:colOff>1352550</xdr:colOff>
                    <xdr:row>24</xdr:row>
                    <xdr:rowOff>0</xdr:rowOff>
                  </to>
                </anchor>
              </controlPr>
            </control>
          </mc:Choice>
        </mc:AlternateContent>
        <mc:AlternateContent xmlns:mc="http://schemas.openxmlformats.org/markup-compatibility/2006">
          <mc:Choice Requires="x14">
            <control shapeId="47211" r:id="rId15" name="Check Box 107">
              <controlPr defaultSize="0" autoFill="0" autoLine="0" autoPict="0">
                <anchor moveWithCells="1">
                  <from>
                    <xdr:col>2</xdr:col>
                    <xdr:colOff>1476375</xdr:colOff>
                    <xdr:row>23</xdr:row>
                    <xdr:rowOff>9525</xdr:rowOff>
                  </from>
                  <to>
                    <xdr:col>2</xdr:col>
                    <xdr:colOff>2019300</xdr:colOff>
                    <xdr:row>24</xdr:row>
                    <xdr:rowOff>0</xdr:rowOff>
                  </to>
                </anchor>
              </controlPr>
            </control>
          </mc:Choice>
        </mc:AlternateContent>
        <mc:AlternateContent xmlns:mc="http://schemas.openxmlformats.org/markup-compatibility/2006">
          <mc:Choice Requires="x14">
            <control shapeId="47214" r:id="rId16" name="Check Box 110">
              <controlPr defaultSize="0" autoFill="0" autoLine="0" autoPict="0">
                <anchor moveWithCells="1">
                  <from>
                    <xdr:col>2</xdr:col>
                    <xdr:colOff>809625</xdr:colOff>
                    <xdr:row>36</xdr:row>
                    <xdr:rowOff>9525</xdr:rowOff>
                  </from>
                  <to>
                    <xdr:col>2</xdr:col>
                    <xdr:colOff>1352550</xdr:colOff>
                    <xdr:row>37</xdr:row>
                    <xdr:rowOff>0</xdr:rowOff>
                  </to>
                </anchor>
              </controlPr>
            </control>
          </mc:Choice>
        </mc:AlternateContent>
        <mc:AlternateContent xmlns:mc="http://schemas.openxmlformats.org/markup-compatibility/2006">
          <mc:Choice Requires="x14">
            <control shapeId="47215" r:id="rId17" name="Check Box 111">
              <controlPr defaultSize="0" autoFill="0" autoLine="0" autoPict="0">
                <anchor moveWithCells="1">
                  <from>
                    <xdr:col>2</xdr:col>
                    <xdr:colOff>1476375</xdr:colOff>
                    <xdr:row>36</xdr:row>
                    <xdr:rowOff>9525</xdr:rowOff>
                  </from>
                  <to>
                    <xdr:col>2</xdr:col>
                    <xdr:colOff>2019300</xdr:colOff>
                    <xdr:row>37</xdr:row>
                    <xdr:rowOff>0</xdr:rowOff>
                  </to>
                </anchor>
              </controlPr>
            </control>
          </mc:Choice>
        </mc:AlternateContent>
        <mc:AlternateContent xmlns:mc="http://schemas.openxmlformats.org/markup-compatibility/2006">
          <mc:Choice Requires="x14">
            <control shapeId="47217" r:id="rId18" name="Check Box 113">
              <controlPr defaultSize="0" autoFill="0" autoLine="0" autoPict="0">
                <anchor moveWithCells="1">
                  <from>
                    <xdr:col>2</xdr:col>
                    <xdr:colOff>809625</xdr:colOff>
                    <xdr:row>37</xdr:row>
                    <xdr:rowOff>9525</xdr:rowOff>
                  </from>
                  <to>
                    <xdr:col>2</xdr:col>
                    <xdr:colOff>1352550</xdr:colOff>
                    <xdr:row>38</xdr:row>
                    <xdr:rowOff>0</xdr:rowOff>
                  </to>
                </anchor>
              </controlPr>
            </control>
          </mc:Choice>
        </mc:AlternateContent>
        <mc:AlternateContent xmlns:mc="http://schemas.openxmlformats.org/markup-compatibility/2006">
          <mc:Choice Requires="x14">
            <control shapeId="47218" r:id="rId19" name="Check Box 114">
              <controlPr defaultSize="0" autoFill="0" autoLine="0" autoPict="0">
                <anchor moveWithCells="1">
                  <from>
                    <xdr:col>2</xdr:col>
                    <xdr:colOff>1476375</xdr:colOff>
                    <xdr:row>37</xdr:row>
                    <xdr:rowOff>9525</xdr:rowOff>
                  </from>
                  <to>
                    <xdr:col>2</xdr:col>
                    <xdr:colOff>2019300</xdr:colOff>
                    <xdr:row>38</xdr:row>
                    <xdr:rowOff>0</xdr:rowOff>
                  </to>
                </anchor>
              </controlPr>
            </control>
          </mc:Choice>
        </mc:AlternateContent>
        <mc:AlternateContent xmlns:mc="http://schemas.openxmlformats.org/markup-compatibility/2006">
          <mc:Choice Requires="x14">
            <control shapeId="47228" r:id="rId20" name="Check Box 124">
              <controlPr defaultSize="0" autoFill="0" autoLine="0" autoPict="0">
                <anchor moveWithCells="1">
                  <from>
                    <xdr:col>2</xdr:col>
                    <xdr:colOff>219075</xdr:colOff>
                    <xdr:row>35</xdr:row>
                    <xdr:rowOff>0</xdr:rowOff>
                  </from>
                  <to>
                    <xdr:col>2</xdr:col>
                    <xdr:colOff>1295400</xdr:colOff>
                    <xdr:row>36</xdr:row>
                    <xdr:rowOff>0</xdr:rowOff>
                  </to>
                </anchor>
              </controlPr>
            </control>
          </mc:Choice>
        </mc:AlternateContent>
        <mc:AlternateContent xmlns:mc="http://schemas.openxmlformats.org/markup-compatibility/2006">
          <mc:Choice Requires="x14">
            <control shapeId="47229" r:id="rId21" name="Check Box 125">
              <controlPr defaultSize="0" autoFill="0" autoLine="0" autoPict="0">
                <anchor moveWithCells="1">
                  <from>
                    <xdr:col>2</xdr:col>
                    <xdr:colOff>1514475</xdr:colOff>
                    <xdr:row>35</xdr:row>
                    <xdr:rowOff>0</xdr:rowOff>
                  </from>
                  <to>
                    <xdr:col>2</xdr:col>
                    <xdr:colOff>2590800</xdr:colOff>
                    <xdr:row>36</xdr:row>
                    <xdr:rowOff>0</xdr:rowOff>
                  </to>
                </anchor>
              </controlPr>
            </control>
          </mc:Choice>
        </mc:AlternateContent>
        <mc:AlternateContent xmlns:mc="http://schemas.openxmlformats.org/markup-compatibility/2006">
          <mc:Choice Requires="x14">
            <control shapeId="47236" r:id="rId22" name="Check Box 132">
              <controlPr defaultSize="0" autoFill="0" autoLine="0" autoPict="0">
                <anchor moveWithCells="1">
                  <from>
                    <xdr:col>2</xdr:col>
                    <xdr:colOff>1609725</xdr:colOff>
                    <xdr:row>45</xdr:row>
                    <xdr:rowOff>9525</xdr:rowOff>
                  </from>
                  <to>
                    <xdr:col>3</xdr:col>
                    <xdr:colOff>695325</xdr:colOff>
                    <xdr:row>46</xdr:row>
                    <xdr:rowOff>0</xdr:rowOff>
                  </to>
                </anchor>
              </controlPr>
            </control>
          </mc:Choice>
        </mc:AlternateContent>
        <mc:AlternateContent xmlns:mc="http://schemas.openxmlformats.org/markup-compatibility/2006">
          <mc:Choice Requires="x14">
            <control shapeId="47237" r:id="rId23" name="Check Box 133">
              <controlPr defaultSize="0" autoFill="0" autoLine="0" autoPict="0">
                <anchor moveWithCells="1">
                  <from>
                    <xdr:col>3</xdr:col>
                    <xdr:colOff>714375</xdr:colOff>
                    <xdr:row>45</xdr:row>
                    <xdr:rowOff>9525</xdr:rowOff>
                  </from>
                  <to>
                    <xdr:col>3</xdr:col>
                    <xdr:colOff>2514600</xdr:colOff>
                    <xdr:row>46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Z76"/>
  <sheetViews>
    <sheetView showGridLines="0" showRowColHeaders="0" zoomScaleNormal="100" workbookViewId="0">
      <pane ySplit="6" topLeftCell="A7" activePane="bottomLeft" state="frozen"/>
      <selection pane="bottomLeft" activeCell="C26" sqref="C26"/>
    </sheetView>
  </sheetViews>
  <sheetFormatPr defaultColWidth="9.140625" defaultRowHeight="14.25" x14ac:dyDescent="0.2"/>
  <cols>
    <col min="1" max="1" width="9.140625" style="1"/>
    <col min="2" max="4" width="40.7109375" style="1" customWidth="1"/>
    <col min="5" max="11" width="9.140625" style="1" customWidth="1"/>
    <col min="12" max="16" width="9.140625" style="1" hidden="1" customWidth="1"/>
    <col min="17" max="17" width="30.7109375" style="1" hidden="1" customWidth="1"/>
    <col min="18" max="26" width="9.140625" style="1" hidden="1" customWidth="1"/>
    <col min="27" max="16384" width="9.140625" style="1"/>
  </cols>
  <sheetData>
    <row r="1" spans="2:18" ht="15" customHeight="1" x14ac:dyDescent="0.2"/>
    <row r="2" spans="2:18" ht="15" customHeight="1" x14ac:dyDescent="0.2"/>
    <row r="3" spans="2:18" ht="15" customHeight="1" x14ac:dyDescent="0.2"/>
    <row r="4" spans="2:18" ht="15" customHeight="1" x14ac:dyDescent="0.2"/>
    <row r="5" spans="2:18" ht="15" customHeight="1" x14ac:dyDescent="0.2"/>
    <row r="6" spans="2:18" ht="15" customHeight="1" x14ac:dyDescent="0.2"/>
    <row r="7" spans="2:18" ht="15" customHeight="1" thickBot="1" x14ac:dyDescent="0.25"/>
    <row r="8" spans="2:18" ht="48" customHeight="1" thickBot="1" x14ac:dyDescent="0.25">
      <c r="B8" s="669" t="s">
        <v>435</v>
      </c>
      <c r="C8" s="697"/>
      <c r="D8" s="670"/>
    </row>
    <row r="9" spans="2:18" ht="14.25" customHeight="1" x14ac:dyDescent="0.2">
      <c r="B9" s="362"/>
      <c r="C9" s="364"/>
      <c r="D9" s="363"/>
    </row>
    <row r="10" spans="2:18" ht="14.25" customHeight="1" x14ac:dyDescent="0.2">
      <c r="B10" s="840" t="str">
        <f>TRIM(Q10&amp;" "&amp;R10&amp;" "&amp;Q11)</f>
        <v>I/We the undersigned are authorised by ("the Applicant Firm") to complete this registration application on behalf of the Applicant Firm.</v>
      </c>
      <c r="C10" s="841"/>
      <c r="D10" s="842"/>
      <c r="Q10" s="544" t="s">
        <v>791</v>
      </c>
      <c r="R10" s="1" t="str">
        <f>IF(ISBLANK('1. Applicant Firm Details'!C10)=TRUE,"",'1. Applicant Firm Details'!C10)</f>
        <v/>
      </c>
    </row>
    <row r="11" spans="2:18" ht="15" customHeight="1" x14ac:dyDescent="0.2">
      <c r="B11" s="843"/>
      <c r="C11" s="844"/>
      <c r="D11" s="845"/>
      <c r="Q11" s="544" t="s">
        <v>645</v>
      </c>
    </row>
    <row r="12" spans="2:18" ht="33" customHeight="1" x14ac:dyDescent="0.2">
      <c r="B12" s="840" t="s">
        <v>601</v>
      </c>
      <c r="C12" s="841"/>
      <c r="D12" s="842"/>
    </row>
    <row r="13" spans="2:18" x14ac:dyDescent="0.2">
      <c r="B13" s="843"/>
      <c r="C13" s="844"/>
      <c r="D13" s="845"/>
    </row>
    <row r="14" spans="2:18" ht="30" customHeight="1" x14ac:dyDescent="0.2">
      <c r="B14" s="840" t="s">
        <v>436</v>
      </c>
      <c r="C14" s="841"/>
      <c r="D14" s="842"/>
    </row>
    <row r="15" spans="2:18" x14ac:dyDescent="0.2">
      <c r="B15" s="843"/>
      <c r="C15" s="844"/>
      <c r="D15" s="845"/>
    </row>
    <row r="16" spans="2:18" ht="30" customHeight="1" x14ac:dyDescent="0.2">
      <c r="B16" s="840" t="s">
        <v>646</v>
      </c>
      <c r="C16" s="841"/>
      <c r="D16" s="842"/>
    </row>
    <row r="17" spans="2:14" x14ac:dyDescent="0.2">
      <c r="B17" s="366"/>
      <c r="C17" s="51"/>
      <c r="D17" s="363"/>
    </row>
    <row r="18" spans="2:14" ht="30" customHeight="1" x14ac:dyDescent="0.2">
      <c r="B18" s="861" t="s">
        <v>437</v>
      </c>
      <c r="C18" s="862"/>
      <c r="D18" s="863"/>
    </row>
    <row r="19" spans="2:14" x14ac:dyDescent="0.2">
      <c r="B19" s="366"/>
      <c r="C19" s="51"/>
      <c r="D19" s="363"/>
    </row>
    <row r="20" spans="2:14" ht="31.5" customHeight="1" x14ac:dyDescent="0.2">
      <c r="B20" s="840" t="s">
        <v>438</v>
      </c>
      <c r="C20" s="841"/>
      <c r="D20" s="842"/>
    </row>
    <row r="21" spans="2:14" x14ac:dyDescent="0.2">
      <c r="B21" s="366"/>
      <c r="C21" s="51"/>
      <c r="D21" s="363"/>
    </row>
    <row r="22" spans="2:14" ht="29.25" customHeight="1" x14ac:dyDescent="0.2">
      <c r="B22" s="840" t="s">
        <v>647</v>
      </c>
      <c r="C22" s="841"/>
      <c r="D22" s="842"/>
    </row>
    <row r="23" spans="2:14" x14ac:dyDescent="0.2">
      <c r="B23" s="369"/>
      <c r="C23" s="51"/>
      <c r="D23" s="363"/>
    </row>
    <row r="24" spans="2:14" x14ac:dyDescent="0.2">
      <c r="B24" s="369"/>
      <c r="C24" s="51" t="s">
        <v>439</v>
      </c>
      <c r="D24" s="363" t="s">
        <v>440</v>
      </c>
    </row>
    <row r="25" spans="2:14" x14ac:dyDescent="0.2">
      <c r="B25" s="369"/>
      <c r="C25" s="368"/>
      <c r="D25" s="367"/>
    </row>
    <row r="26" spans="2:14" ht="32.1" customHeight="1" x14ac:dyDescent="0.2">
      <c r="B26" s="365" t="s">
        <v>441</v>
      </c>
      <c r="C26" s="172"/>
      <c r="D26" s="231"/>
      <c r="E26" s="98" t="str">
        <f>IF(M26&lt;&gt;0,"*","")</f>
        <v>*</v>
      </c>
      <c r="F26" s="52"/>
      <c r="G26" s="52"/>
      <c r="I26" s="52"/>
      <c r="J26" s="52"/>
      <c r="K26" s="52"/>
      <c r="L26" s="52"/>
      <c r="M26" s="93">
        <f>IF(C26="",1,0)</f>
        <v>1</v>
      </c>
      <c r="N26" s="53"/>
    </row>
    <row r="27" spans="2:14" x14ac:dyDescent="0.2">
      <c r="B27" s="375"/>
      <c r="C27" s="371"/>
      <c r="D27" s="370"/>
      <c r="E27" s="99"/>
      <c r="M27" s="53"/>
      <c r="N27" s="53"/>
    </row>
    <row r="28" spans="2:14" ht="32.1" customHeight="1" x14ac:dyDescent="0.2">
      <c r="B28" s="365" t="s">
        <v>442</v>
      </c>
      <c r="C28" s="172"/>
      <c r="D28" s="231"/>
      <c r="E28" s="98" t="str">
        <f>IF(M28&lt;&gt;0,"*","")</f>
        <v>*</v>
      </c>
      <c r="F28" s="52"/>
      <c r="G28" s="52"/>
      <c r="I28" s="52"/>
      <c r="J28" s="52"/>
      <c r="K28" s="52"/>
      <c r="L28" s="52"/>
      <c r="M28" s="93">
        <f>IF(C28="",1,0)+IF(D26&lt;&gt;"",IF(D28="",1,0))</f>
        <v>1</v>
      </c>
      <c r="N28" s="53"/>
    </row>
    <row r="29" spans="2:14" x14ac:dyDescent="0.2">
      <c r="B29" s="375"/>
      <c r="C29" s="371"/>
      <c r="D29" s="370"/>
      <c r="E29" s="99"/>
      <c r="M29" s="53"/>
      <c r="N29" s="53"/>
    </row>
    <row r="30" spans="2:14" ht="32.1" customHeight="1" x14ac:dyDescent="0.2">
      <c r="B30" s="376" t="s">
        <v>648</v>
      </c>
      <c r="C30" s="172"/>
      <c r="D30" s="231"/>
      <c r="E30" s="98" t="str">
        <f>IF(M30&lt;&gt;0,"*","")</f>
        <v>*</v>
      </c>
      <c r="F30" s="52"/>
      <c r="G30" s="52"/>
      <c r="I30" s="52"/>
      <c r="J30" s="52"/>
      <c r="K30" s="52"/>
      <c r="L30" s="52"/>
      <c r="M30" s="93">
        <f>IF(C30="",1,0)+IF(D26&lt;&gt;"",IF(D30="",1,0))</f>
        <v>1</v>
      </c>
      <c r="N30" s="53"/>
    </row>
    <row r="31" spans="2:14" x14ac:dyDescent="0.2">
      <c r="B31" s="366"/>
      <c r="C31" s="372"/>
      <c r="D31" s="370"/>
      <c r="E31" s="99"/>
      <c r="M31" s="93"/>
      <c r="N31" s="53"/>
    </row>
    <row r="32" spans="2:14" ht="32.1" customHeight="1" x14ac:dyDescent="0.2">
      <c r="B32" s="365" t="s">
        <v>443</v>
      </c>
      <c r="C32" s="359"/>
      <c r="D32" s="360"/>
      <c r="E32" s="98" t="str">
        <f>IF(M32&lt;&gt;0,"*","")</f>
        <v>*</v>
      </c>
      <c r="F32" s="52"/>
      <c r="G32" s="52"/>
      <c r="I32" s="52"/>
      <c r="J32" s="52"/>
      <c r="K32" s="52"/>
      <c r="L32" s="52"/>
      <c r="M32" s="93">
        <f>IF(C32="",1,0)+IF(D26&lt;&gt;"",IF(D32="",1,0))</f>
        <v>1</v>
      </c>
      <c r="N32" s="93"/>
    </row>
    <row r="33" spans="1:17" ht="15" thickBot="1" x14ac:dyDescent="0.25">
      <c r="B33" s="377"/>
      <c r="C33" s="374"/>
      <c r="D33" s="373"/>
      <c r="E33" s="99"/>
      <c r="M33" s="53" t="str">
        <f>IF(N32="Yes","",IF(SUM(M26:M32)&lt;&gt;0,"Incomplete","Complete"))</f>
        <v>Incomplete</v>
      </c>
      <c r="N33" s="53"/>
    </row>
    <row r="34" spans="1:17" ht="15.95" customHeight="1" x14ac:dyDescent="0.2">
      <c r="E34" s="99"/>
      <c r="L34" s="69" t="s">
        <v>667</v>
      </c>
      <c r="M34" s="38" t="str">
        <f>IF(SUM(M18:M32)&lt;&gt;0,"Invalid","Valid")</f>
        <v>Invalid</v>
      </c>
      <c r="N34" s="53"/>
    </row>
    <row r="35" spans="1:17" ht="15.95" customHeight="1" x14ac:dyDescent="0.2">
      <c r="B35" s="550" t="s">
        <v>792</v>
      </c>
      <c r="C35" s="237"/>
      <c r="D35" s="237"/>
      <c r="E35" s="99"/>
    </row>
    <row r="36" spans="1:17" ht="15.95" customHeight="1" thickBot="1" x14ac:dyDescent="0.25">
      <c r="E36" s="99"/>
    </row>
    <row r="37" spans="1:17" ht="48" customHeight="1" thickBot="1" x14ac:dyDescent="0.25">
      <c r="B37" s="669" t="s">
        <v>444</v>
      </c>
      <c r="C37" s="697"/>
      <c r="D37" s="670"/>
      <c r="E37" s="99"/>
    </row>
    <row r="38" spans="1:17" x14ac:dyDescent="0.2">
      <c r="A38" s="51"/>
      <c r="B38" s="313"/>
      <c r="C38" s="368"/>
      <c r="D38" s="367"/>
      <c r="E38" s="99"/>
    </row>
    <row r="39" spans="1:17" ht="68.099999999999994" customHeight="1" x14ac:dyDescent="0.2">
      <c r="A39" s="51"/>
      <c r="B39" s="679" t="str">
        <f>TRIM(Q39&amp;" "&amp;Q40&amp;" "&amp;Q41)</f>
        <v>We the undersigned confirm that the (‘the Applicant Firm’) has an appropriate Anti-Money Laundering/Combating the Financing of Terrorism (AML/CFT) control framework in place to comply with its obligations under the Criminal Justice (Money Laundering and Terrorist Financing) Acts 2010 to 2021 .</v>
      </c>
      <c r="C39" s="680"/>
      <c r="D39" s="537" t="str">
        <f>IF((N39&amp;" "&amp;O39)="TRUE TRUE","Please select only one option","")</f>
        <v/>
      </c>
      <c r="E39" s="98" t="str">
        <f>IF(M39&lt;&gt;0,"*","")</f>
        <v>*</v>
      </c>
      <c r="L39" s="79"/>
      <c r="M39" s="36">
        <f>IF((N39&amp;" "&amp;O39)="FALSE FALSE",1,IF((N39&amp;" "&amp;O39)="TRUE TRUE",1,0))</f>
        <v>1</v>
      </c>
      <c r="N39" s="79" t="b">
        <v>0</v>
      </c>
      <c r="O39" s="79" t="b">
        <v>0</v>
      </c>
      <c r="Q39" s="11" t="s">
        <v>829</v>
      </c>
    </row>
    <row r="40" spans="1:17" ht="32.1" customHeight="1" x14ac:dyDescent="0.2">
      <c r="A40" s="51"/>
      <c r="B40" s="849" t="s">
        <v>592</v>
      </c>
      <c r="C40" s="850"/>
      <c r="D40" s="361"/>
      <c r="E40" s="98" t="str">
        <f>IF(M40&lt;&gt;0,"*","")</f>
        <v/>
      </c>
      <c r="M40" s="36">
        <f>IF((N39&amp;" "&amp;O39)="FALSE TRUE",IF(ISNUMBER(D40)=TRUE,0,1),0)</f>
        <v>0</v>
      </c>
      <c r="Q40" s="11" t="str">
        <f>IF(ISBLANK('1. Applicant Firm Details'!C10)=TRUE,"",'1. Applicant Firm Details'!C10)</f>
        <v/>
      </c>
    </row>
    <row r="41" spans="1:17" x14ac:dyDescent="0.2">
      <c r="B41" s="378"/>
      <c r="C41" s="379"/>
      <c r="D41" s="380"/>
      <c r="E41" s="99"/>
      <c r="Q41" s="11" t="s">
        <v>856</v>
      </c>
    </row>
    <row r="42" spans="1:17" x14ac:dyDescent="0.2">
      <c r="B42" s="369"/>
      <c r="C42" s="51" t="s">
        <v>439</v>
      </c>
      <c r="D42" s="363" t="s">
        <v>440</v>
      </c>
      <c r="E42" s="99"/>
    </row>
    <row r="43" spans="1:17" x14ac:dyDescent="0.2">
      <c r="B43" s="369"/>
      <c r="C43" s="368"/>
      <c r="D43" s="367"/>
      <c r="E43" s="99"/>
    </row>
    <row r="44" spans="1:17" ht="32.1" customHeight="1" x14ac:dyDescent="0.2">
      <c r="B44" s="365" t="s">
        <v>441</v>
      </c>
      <c r="C44" s="172"/>
      <c r="D44" s="231"/>
      <c r="E44" s="98" t="str">
        <f>IF(M44&lt;&gt;0,"*","")</f>
        <v>*</v>
      </c>
      <c r="F44" s="52"/>
      <c r="G44" s="52"/>
      <c r="I44" s="52"/>
      <c r="J44" s="52"/>
      <c r="K44" s="52"/>
      <c r="L44" s="52"/>
      <c r="M44" s="93">
        <f>IF(C44="",1,0)</f>
        <v>1</v>
      </c>
      <c r="N44" s="53"/>
    </row>
    <row r="45" spans="1:17" x14ac:dyDescent="0.2">
      <c r="B45" s="375"/>
      <c r="C45" s="371"/>
      <c r="D45" s="370"/>
      <c r="E45" s="99"/>
      <c r="M45" s="53"/>
      <c r="N45" s="53"/>
    </row>
    <row r="46" spans="1:17" ht="32.1" customHeight="1" x14ac:dyDescent="0.2">
      <c r="B46" s="365" t="s">
        <v>442</v>
      </c>
      <c r="C46" s="172"/>
      <c r="D46" s="231"/>
      <c r="E46" s="98" t="str">
        <f>IF(M46&lt;&gt;0,"*","")</f>
        <v>*</v>
      </c>
      <c r="F46" s="52"/>
      <c r="G46" s="52"/>
      <c r="I46" s="52"/>
      <c r="J46" s="52"/>
      <c r="K46" s="52"/>
      <c r="L46" s="52"/>
      <c r="M46" s="93">
        <f>IF(C46="",1,0)+IF(D44&lt;&gt;"",IF(D46="",1,0))</f>
        <v>1</v>
      </c>
      <c r="N46" s="53"/>
    </row>
    <row r="47" spans="1:17" x14ac:dyDescent="0.2">
      <c r="B47" s="375"/>
      <c r="C47" s="371"/>
      <c r="D47" s="370"/>
      <c r="E47" s="99"/>
      <c r="M47" s="53"/>
      <c r="N47" s="53"/>
    </row>
    <row r="48" spans="1:17" ht="32.1" customHeight="1" x14ac:dyDescent="0.2">
      <c r="B48" s="376" t="s">
        <v>648</v>
      </c>
      <c r="C48" s="172"/>
      <c r="D48" s="231"/>
      <c r="E48" s="98" t="str">
        <f>IF(M48&lt;&gt;0,"*","")</f>
        <v>*</v>
      </c>
      <c r="F48" s="52"/>
      <c r="G48" s="52"/>
      <c r="I48" s="52"/>
      <c r="J48" s="52"/>
      <c r="K48" s="52"/>
      <c r="L48" s="52"/>
      <c r="M48" s="93">
        <f>IF(C48="",1,0)+IF(D44&lt;&gt;"",IF(D48="",1,0))</f>
        <v>1</v>
      </c>
      <c r="N48" s="53"/>
    </row>
    <row r="49" spans="1:17" x14ac:dyDescent="0.2">
      <c r="B49" s="366"/>
      <c r="C49" s="371"/>
      <c r="D49" s="370"/>
      <c r="E49" s="99"/>
      <c r="M49" s="93"/>
      <c r="N49" s="53"/>
    </row>
    <row r="50" spans="1:17" ht="32.1" customHeight="1" x14ac:dyDescent="0.2">
      <c r="B50" s="365" t="s">
        <v>443</v>
      </c>
      <c r="C50" s="359"/>
      <c r="D50" s="360"/>
      <c r="E50" s="98" t="str">
        <f>IF(M50&lt;&gt;0,"*","")</f>
        <v>*</v>
      </c>
      <c r="F50" s="52"/>
      <c r="G50" s="52"/>
      <c r="I50" s="52"/>
      <c r="J50" s="52"/>
      <c r="K50" s="52"/>
      <c r="L50" s="52"/>
      <c r="M50" s="93">
        <f>IF(C50="",1,0)+IF(D44&lt;&gt;"",IF(D50="",1,0))</f>
        <v>1</v>
      </c>
      <c r="N50" s="93" t="str">
        <f>IF(SUM(M44:M50)&gt;0,"Invalid","Valid")</f>
        <v>Invalid</v>
      </c>
    </row>
    <row r="51" spans="1:17" ht="15" thickBot="1" x14ac:dyDescent="0.25">
      <c r="B51" s="377"/>
      <c r="C51" s="374"/>
      <c r="D51" s="373"/>
      <c r="E51" s="99"/>
      <c r="L51" s="69"/>
      <c r="M51" s="38"/>
      <c r="N51" s="53"/>
    </row>
    <row r="52" spans="1:17" ht="15.95" customHeight="1" x14ac:dyDescent="0.2">
      <c r="E52" s="99"/>
      <c r="L52" s="69" t="s">
        <v>667</v>
      </c>
      <c r="M52" s="38" t="str">
        <f>IF(SUM(M39:M50)&lt;&gt;0,"Invalid","Valid")</f>
        <v>Invalid</v>
      </c>
    </row>
    <row r="53" spans="1:17" ht="15.95" customHeight="1" x14ac:dyDescent="0.2">
      <c r="B53" s="550" t="s">
        <v>792</v>
      </c>
      <c r="C53" s="237"/>
      <c r="D53" s="237"/>
      <c r="E53" s="99"/>
    </row>
    <row r="54" spans="1:17" ht="15.95" customHeight="1" thickBot="1" x14ac:dyDescent="0.25">
      <c r="E54" s="99"/>
    </row>
    <row r="55" spans="1:17" ht="48" customHeight="1" thickBot="1" x14ac:dyDescent="0.25">
      <c r="B55" s="669" t="s">
        <v>692</v>
      </c>
      <c r="C55" s="697"/>
      <c r="D55" s="670"/>
      <c r="E55" s="99"/>
      <c r="Q55" s="579"/>
    </row>
    <row r="56" spans="1:17" x14ac:dyDescent="0.2">
      <c r="B56" s="369"/>
      <c r="C56" s="51"/>
      <c r="D56" s="363"/>
      <c r="E56" s="99"/>
    </row>
    <row r="57" spans="1:17" ht="43.5" customHeight="1" x14ac:dyDescent="0.2">
      <c r="A57" s="51"/>
      <c r="B57" s="851" t="str">
        <f>TRIM(Q57&amp;" "&amp;Q58&amp;" "&amp;Q59)</f>
        <v>We confirm that (‘the Applicant Firm’) has taken and shall continue to take reasonable steps to ensure that the following persons (as applicable) are fit and proper within the meaning of section 106 of the CJA 2010 to 2021 and are otherwise fit and proper persons.</v>
      </c>
      <c r="C57" s="852"/>
      <c r="D57" s="853"/>
      <c r="E57" s="99"/>
      <c r="Q57" s="11" t="s">
        <v>830</v>
      </c>
    </row>
    <row r="58" spans="1:17" ht="35.1" customHeight="1" x14ac:dyDescent="0.2">
      <c r="A58" s="51"/>
      <c r="B58" s="854" t="s">
        <v>746</v>
      </c>
      <c r="C58" s="855"/>
      <c r="D58" s="856"/>
      <c r="E58" s="99"/>
      <c r="Q58" s="11" t="str">
        <f>IF(ISBLANK('1. Applicant Firm Details'!C10)=TRUE,"",'1. Applicant Firm Details'!C10)</f>
        <v/>
      </c>
    </row>
    <row r="59" spans="1:17" ht="35.1" customHeight="1" x14ac:dyDescent="0.2">
      <c r="A59" s="51"/>
      <c r="B59" s="849"/>
      <c r="C59" s="850"/>
      <c r="D59" s="857"/>
      <c r="E59" s="99"/>
      <c r="Q59" s="11" t="s">
        <v>848</v>
      </c>
    </row>
    <row r="60" spans="1:17" ht="35.1" customHeight="1" x14ac:dyDescent="0.2">
      <c r="A60" s="51"/>
      <c r="B60" s="858"/>
      <c r="C60" s="859"/>
      <c r="D60" s="860"/>
      <c r="E60" s="99"/>
    </row>
    <row r="61" spans="1:17" x14ac:dyDescent="0.2">
      <c r="A61" s="51"/>
      <c r="B61" s="381"/>
      <c r="C61" s="354"/>
      <c r="D61" s="382"/>
      <c r="E61" s="99"/>
    </row>
    <row r="62" spans="1:17" x14ac:dyDescent="0.2">
      <c r="A62" s="51"/>
      <c r="B62" s="381"/>
      <c r="C62" s="51" t="s">
        <v>439</v>
      </c>
      <c r="D62" s="363" t="s">
        <v>440</v>
      </c>
      <c r="E62" s="99"/>
    </row>
    <row r="63" spans="1:17" x14ac:dyDescent="0.2">
      <c r="B63" s="369"/>
      <c r="C63" s="368"/>
      <c r="D63" s="367"/>
      <c r="E63" s="99"/>
    </row>
    <row r="64" spans="1:17" ht="32.1" customHeight="1" x14ac:dyDescent="0.2">
      <c r="A64" s="51"/>
      <c r="B64" s="365" t="s">
        <v>441</v>
      </c>
      <c r="C64" s="172"/>
      <c r="D64" s="231"/>
      <c r="E64" s="98" t="str">
        <f>IF(M64&lt;&gt;0,"*","")</f>
        <v>*</v>
      </c>
      <c r="F64" s="52"/>
      <c r="G64" s="52"/>
      <c r="I64" s="52"/>
      <c r="J64" s="52"/>
      <c r="K64" s="52"/>
      <c r="L64" s="52"/>
      <c r="M64" s="93">
        <f>IF(C64="",1,0)</f>
        <v>1</v>
      </c>
      <c r="N64" s="53"/>
    </row>
    <row r="65" spans="1:14" x14ac:dyDescent="0.2">
      <c r="A65" s="51"/>
      <c r="B65" s="375"/>
      <c r="C65" s="371"/>
      <c r="D65" s="370"/>
      <c r="E65" s="99"/>
      <c r="M65" s="53"/>
      <c r="N65" s="53"/>
    </row>
    <row r="66" spans="1:14" ht="32.1" customHeight="1" x14ac:dyDescent="0.2">
      <c r="A66" s="51"/>
      <c r="B66" s="365" t="s">
        <v>442</v>
      </c>
      <c r="C66" s="172"/>
      <c r="D66" s="231"/>
      <c r="E66" s="98" t="str">
        <f>IF(M66&lt;&gt;0,"*","")</f>
        <v>*</v>
      </c>
      <c r="F66" s="52"/>
      <c r="G66" s="52"/>
      <c r="I66" s="52"/>
      <c r="J66" s="52"/>
      <c r="K66" s="52"/>
      <c r="L66" s="52"/>
      <c r="M66" s="93">
        <f>IF(C66="",1,0)+IF(D64&lt;&gt;"",IF(D66="",1,0))</f>
        <v>1</v>
      </c>
      <c r="N66" s="53"/>
    </row>
    <row r="67" spans="1:14" x14ac:dyDescent="0.2">
      <c r="A67" s="51"/>
      <c r="B67" s="375"/>
      <c r="C67" s="371"/>
      <c r="D67" s="370"/>
      <c r="E67" s="99"/>
      <c r="M67" s="53"/>
      <c r="N67" s="53"/>
    </row>
    <row r="68" spans="1:14" ht="32.1" customHeight="1" x14ac:dyDescent="0.2">
      <c r="A68" s="51"/>
      <c r="B68" s="376" t="s">
        <v>648</v>
      </c>
      <c r="C68" s="172"/>
      <c r="D68" s="231"/>
      <c r="E68" s="98" t="str">
        <f>IF(M68&lt;&gt;0,"*","")</f>
        <v>*</v>
      </c>
      <c r="F68" s="52"/>
      <c r="G68" s="52"/>
      <c r="I68" s="52"/>
      <c r="J68" s="52"/>
      <c r="K68" s="52"/>
      <c r="L68" s="52"/>
      <c r="M68" s="93">
        <f>IF(C68="",1,0)+IF(D64&lt;&gt;"",IF(D68="",1,0))</f>
        <v>1</v>
      </c>
      <c r="N68" s="53"/>
    </row>
    <row r="69" spans="1:14" x14ac:dyDescent="0.2">
      <c r="A69" s="51"/>
      <c r="B69" s="366"/>
      <c r="C69" s="371"/>
      <c r="D69" s="370"/>
      <c r="E69" s="99"/>
      <c r="M69" s="93"/>
      <c r="N69" s="53"/>
    </row>
    <row r="70" spans="1:14" ht="32.1" customHeight="1" x14ac:dyDescent="0.2">
      <c r="A70" s="51"/>
      <c r="B70" s="365" t="s">
        <v>443</v>
      </c>
      <c r="C70" s="359"/>
      <c r="D70" s="360"/>
      <c r="E70" s="98" t="str">
        <f>IF(M70&lt;&gt;0,"*","")</f>
        <v>*</v>
      </c>
      <c r="F70" s="52"/>
      <c r="G70" s="52"/>
      <c r="I70" s="52"/>
      <c r="J70" s="52"/>
      <c r="K70" s="52"/>
      <c r="L70" s="52"/>
      <c r="M70" s="93">
        <f>IF(C70="",1,0)+IF(D64&lt;&gt;"",IF(D70="",1,0))</f>
        <v>1</v>
      </c>
      <c r="N70" s="93"/>
    </row>
    <row r="71" spans="1:14" ht="15" thickBot="1" x14ac:dyDescent="0.25">
      <c r="B71" s="846"/>
      <c r="C71" s="847"/>
      <c r="D71" s="848"/>
      <c r="L71" s="69" t="s">
        <v>667</v>
      </c>
      <c r="M71" s="38" t="str">
        <f>IF(SUM(M59:M70)&lt;&gt;0,"Invalid","Valid")</f>
        <v>Invalid</v>
      </c>
      <c r="N71" s="53"/>
    </row>
    <row r="72" spans="1:14" x14ac:dyDescent="0.2">
      <c r="D72" s="569"/>
    </row>
    <row r="73" spans="1:14" x14ac:dyDescent="0.2">
      <c r="B73" s="550" t="s">
        <v>792</v>
      </c>
      <c r="C73" s="237"/>
      <c r="D73" s="237"/>
    </row>
    <row r="76" spans="1:14" ht="15" x14ac:dyDescent="0.2">
      <c r="B76" s="551" t="str">
        <f>IF(COUNTIF($M$8:M73,"Invalid")=3,"Please Complete all Sections",IF(COUNTIF($M$8:M73,"Invalid")=0,"All Sections Completed",IF(COUNTIF($M$8:M73,"Invalid")&lt;3,"Please Ensure all sections are completed before progressing to the next section")))</f>
        <v>Please Complete all Sections</v>
      </c>
      <c r="C76" s="237"/>
      <c r="D76" s="237"/>
    </row>
  </sheetData>
  <sheetProtection algorithmName="SHA-512" hashValue="PKO0rQHdAheksl3Xi8GzGgbpqsSYp7J2WlkBU9kNVGKFCW/p6qN73qa6i87Nbd+cnZ5Gf6i7iWuKYRkktDA1Jw==" saltValue="riaezvfzPSh5AeLEG+At8A==" spinCount="100000" sheet="1" objects="1" scenarios="1" selectLockedCells="1"/>
  <mergeCells count="18">
    <mergeCell ref="B71:D71"/>
    <mergeCell ref="B39:C39"/>
    <mergeCell ref="B40:C40"/>
    <mergeCell ref="B14:D14"/>
    <mergeCell ref="B15:D15"/>
    <mergeCell ref="B16:D16"/>
    <mergeCell ref="B57:D57"/>
    <mergeCell ref="B58:D60"/>
    <mergeCell ref="B18:D18"/>
    <mergeCell ref="B20:D20"/>
    <mergeCell ref="B22:D22"/>
    <mergeCell ref="B55:D55"/>
    <mergeCell ref="B37:D37"/>
    <mergeCell ref="B8:D8"/>
    <mergeCell ref="B10:D10"/>
    <mergeCell ref="B11:D11"/>
    <mergeCell ref="B12:D12"/>
    <mergeCell ref="B13:D13"/>
  </mergeCells>
  <conditionalFormatting sqref="B76">
    <cfRule type="expression" dxfId="0" priority="1">
      <formula>$B$76="All Sections Completed"</formula>
    </cfRule>
  </conditionalFormatting>
  <dataValidations count="4">
    <dataValidation type="date" allowBlank="1" showInputMessage="1" showErrorMessage="1" errorTitle="Date" error="Only dates within the past three months will be accepted.  _x000a_Please ensure that the date is not greater than today's date._x000a_All dates must be entered using the dd/mm/yyyy format_x000a_" sqref="C70">
      <formula1>TODAY()-90</formula1>
      <formula2>TODAY()</formula2>
    </dataValidation>
    <dataValidation type="date" allowBlank="1" showInputMessage="1" showErrorMessage="1" errorTitle="Date" error="Only dates within the past three months will be accepted.  _x000a_Please ensure that the date is not greater than today's date._x000a_All dates must be entered using the dd/mm/yyyy format" sqref="D70 C32:D32 C50:D50">
      <formula1>TODAY()-90</formula1>
      <formula2>TODAY()</formula2>
    </dataValidation>
    <dataValidation type="date" allowBlank="1" showInputMessage="1" showErrorMessage="1" errorTitle="Dates" error="Please only enter dates in the dd/mm/yyyy format" sqref="D40">
      <formula1>TODAY()+1</formula1>
      <formula2>TODAY()+10000</formula2>
    </dataValidation>
    <dataValidation type="textLength" operator="lessThan" allowBlank="1" showInputMessage="1" showErrorMessage="1" errorTitle="Cell Values" error="Please do not enter any data into this cell_x000a_" sqref="D72">
      <formula1>1</formula1>
    </dataValidation>
  </dataValidation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74753" r:id="rId4" name="Check Box 1">
              <controlPr defaultSize="0" autoFill="0" autoLine="0" autoPict="0">
                <anchor moveWithCells="1">
                  <from>
                    <xdr:col>3</xdr:col>
                    <xdr:colOff>695325</xdr:colOff>
                    <xdr:row>38</xdr:row>
                    <xdr:rowOff>0</xdr:rowOff>
                  </from>
                  <to>
                    <xdr:col>3</xdr:col>
                    <xdr:colOff>1590675</xdr:colOff>
                    <xdr:row>39</xdr:row>
                    <xdr:rowOff>0</xdr:rowOff>
                  </to>
                </anchor>
              </controlPr>
            </control>
          </mc:Choice>
        </mc:AlternateContent>
        <mc:AlternateContent xmlns:mc="http://schemas.openxmlformats.org/markup-compatibility/2006">
          <mc:Choice Requires="x14">
            <control shapeId="74754" r:id="rId5" name="Check Box 2">
              <controlPr defaultSize="0" autoFill="0" autoLine="0" autoPict="0">
                <anchor moveWithCells="1">
                  <from>
                    <xdr:col>3</xdr:col>
                    <xdr:colOff>1609725</xdr:colOff>
                    <xdr:row>38</xdr:row>
                    <xdr:rowOff>0</xdr:rowOff>
                  </from>
                  <to>
                    <xdr:col>3</xdr:col>
                    <xdr:colOff>2505075</xdr:colOff>
                    <xdr:row>39</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a586b747-2a7c-4f57-bcd1-e81df5c8c005" origin="userSelected">
  <element uid="33ed6465-8d2f-4fab-bbbc-787e2c148707" value=""/>
  <element uid="28c775dd-3fa7-40f2-8368-0e7fa48abc25" value=""/>
</sisl>
</file>

<file path=customXml/itemProps1.xml><?xml version="1.0" encoding="utf-8"?>
<ds:datastoreItem xmlns:ds="http://schemas.openxmlformats.org/officeDocument/2006/customXml" ds:itemID="{8BD1FFDF-3288-4774-8129-030F27AF700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24</vt:i4>
      </vt:variant>
    </vt:vector>
  </HeadingPairs>
  <TitlesOfParts>
    <vt:vector size="34" baseType="lpstr">
      <vt:lpstr>Control</vt:lpstr>
      <vt:lpstr>Cover</vt:lpstr>
      <vt:lpstr>Notes on Completion</vt:lpstr>
      <vt:lpstr>1. Applicant Firm Details</vt:lpstr>
      <vt:lpstr>2. Ownership &amp; Management</vt:lpstr>
      <vt:lpstr>3. AML CFT FS Goverance</vt:lpstr>
      <vt:lpstr>4. ML.TF Risk Profile</vt:lpstr>
      <vt:lpstr>5. Risk Based Approach</vt:lpstr>
      <vt:lpstr>6. Declarations</vt:lpstr>
      <vt:lpstr>Glossary</vt:lpstr>
      <vt:lpstr>'Notes on Completion'!_ftnref1</vt:lpstr>
      <vt:lpstr>Channel</vt:lpstr>
      <vt:lpstr>Company</vt:lpstr>
      <vt:lpstr>country_all</vt:lpstr>
      <vt:lpstr>country_EU</vt:lpstr>
      <vt:lpstr>county</vt:lpstr>
      <vt:lpstr>FOSFOE</vt:lpstr>
      <vt:lpstr>Frequency</vt:lpstr>
      <vt:lpstr>Frequency1</vt:lpstr>
      <vt:lpstr>Group</vt:lpstr>
      <vt:lpstr>Number</vt:lpstr>
      <vt:lpstr>Number1</vt:lpstr>
      <vt:lpstr>Number2</vt:lpstr>
      <vt:lpstr>PCF</vt:lpstr>
      <vt:lpstr>'1. Applicant Firm Details'!Print_Area</vt:lpstr>
      <vt:lpstr>Risk</vt:lpstr>
      <vt:lpstr>SPM</vt:lpstr>
      <vt:lpstr>True1</vt:lpstr>
      <vt:lpstr>True2</vt:lpstr>
      <vt:lpstr>True3</vt:lpstr>
      <vt:lpstr>True4</vt:lpstr>
      <vt:lpstr>Y_N</vt:lpstr>
      <vt:lpstr>YN</vt:lpstr>
      <vt:lpstr>YNN</vt:lpstr>
    </vt:vector>
  </TitlesOfParts>
  <Company>Central Bank of Ireland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McNeilly, Brian</dc:creator>
  <cp:keywords>Public</cp:keywords>
  <cp:lastModifiedBy>McGuinness, Lucia</cp:lastModifiedBy>
  <cp:lastPrinted>2019-11-19T08:52:29Z</cp:lastPrinted>
  <dcterms:created xsi:type="dcterms:W3CDTF">2019-10-16T06:59:33Z</dcterms:created>
  <dcterms:modified xsi:type="dcterms:W3CDTF">2021-04-22T11:50:09Z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a67dc21d-88a2-46b7-bc8a-ac3213783849</vt:lpwstr>
  </property>
  <property fmtid="{D5CDD505-2E9C-101B-9397-08002B2CF9AE}" pid="3" name="bjSaver">
    <vt:lpwstr>e/bu8SK+a7LK/zX5m+qmT5zy5HVi4Cqy</vt:lpwstr>
  </property>
  <property fmtid="{D5CDD505-2E9C-101B-9397-08002B2CF9AE}" pid="4" name="_AdHocReviewCycleID">
    <vt:i4>-884652082</vt:i4>
  </property>
  <property fmtid="{D5CDD505-2E9C-101B-9397-08002B2CF9AE}" pid="5" name="_NewReviewCycle">
    <vt:lpwstr/>
  </property>
  <property fmtid="{D5CDD505-2E9C-101B-9397-08002B2CF9AE}" pid="6" name="_EmailSubject">
    <vt:lpwstr>VASP Webpage</vt:lpwstr>
  </property>
  <property fmtid="{D5CDD505-2E9C-101B-9397-08002B2CF9AE}" pid="7" name="_AuthorEmail">
    <vt:lpwstr>conall.sargent@centralbank.ie</vt:lpwstr>
  </property>
  <property fmtid="{D5CDD505-2E9C-101B-9397-08002B2CF9AE}" pid="8" name="_AuthorEmailDisplayName">
    <vt:lpwstr>Sargent, Conall</vt:lpwstr>
  </property>
  <property fmtid="{D5CDD505-2E9C-101B-9397-08002B2CF9AE}" pid="9" name="_PreviousAdHocReviewCycleID">
    <vt:i4>357360021</vt:i4>
  </property>
  <property fmtid="{D5CDD505-2E9C-101B-9397-08002B2CF9AE}" pid="10" name="_ReviewingToolsShownOnce">
    <vt:lpwstr/>
  </property>
  <property fmtid="{D5CDD505-2E9C-101B-9397-08002B2CF9AE}" pid="11" name="bjDocumentSecurityLabel">
    <vt:lpwstr>Public</vt:lpwstr>
  </property>
  <property fmtid="{D5CDD505-2E9C-101B-9397-08002B2CF9AE}" pid="12" name="bjDocumentLabelXML">
    <vt:lpwstr>&lt;?xml version="1.0" encoding="us-ascii"?&gt;&lt;sisl xmlns:xsi="http://www.w3.org/2001/XMLSchema-instance" xmlns:xsd="http://www.w3.org/2001/XMLSchema" sislVersion="0" policy="a586b747-2a7c-4f57-bcd1-e81df5c8c005" origin="userSelected" xmlns="http://www.boldonj</vt:lpwstr>
  </property>
  <property fmtid="{D5CDD505-2E9C-101B-9397-08002B2CF9AE}" pid="13" name="bjDocumentLabelXML-0">
    <vt:lpwstr>ames.com/2008/01/sie/internal/label"&gt;&lt;element uid="33ed6465-8d2f-4fab-bbbc-787e2c148707" value="" /&gt;&lt;element uid="28c775dd-3fa7-40f2-8368-0e7fa48abc25" value="" /&gt;&lt;/sisl&gt;</vt:lpwstr>
  </property>
  <property fmtid="{D5CDD505-2E9C-101B-9397-08002B2CF9AE}" pid="14" name="bjLeftHeaderLabel-first">
    <vt:lpwstr>&amp;"Times New Roman,Regular"&amp;12&amp;K000000 </vt:lpwstr>
  </property>
  <property fmtid="{D5CDD505-2E9C-101B-9397-08002B2CF9AE}" pid="15" name="bjLeftHeaderLabel-even">
    <vt:lpwstr>&amp;"Times New Roman,Regular"&amp;12&amp;K000000 </vt:lpwstr>
  </property>
  <property fmtid="{D5CDD505-2E9C-101B-9397-08002B2CF9AE}" pid="16" name="bjLeftHeaderLabel">
    <vt:lpwstr>&amp;"Times New Roman,Regular"&amp;12&amp;K000000 </vt:lpwstr>
  </property>
</Properties>
</file>