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I:\Funds-FVC team\~SPE\SPE Registration Forms\"/>
    </mc:Choice>
  </mc:AlternateContent>
  <workbookProtection workbookAlgorithmName="SHA-512" workbookHashValue="4aCDio9QufDv1igBMgysobtHVTATsadKrU92f/4cr5fbfgeq1efE5LHqWfzOPW9Vj8Z0lMfaxmVnIlqfKE4EzQ==" workbookSaltValue="qmhR5Y8cyPnNyqVuhHq79Q==" workbookSpinCount="100000" lockStructure="1"/>
  <bookViews>
    <workbookView xWindow="0" yWindow="2580" windowWidth="19200" windowHeight="4320" tabRatio="726"/>
  </bookViews>
  <sheets>
    <sheet name="spe_registration" sheetId="42" r:id="rId1"/>
    <sheet name="spe_sponsor" sheetId="15" r:id="rId2"/>
    <sheet name="spe_originator" sheetId="16" r:id="rId3"/>
    <sheet name="spe_consolidator" sheetId="17" r:id="rId4"/>
    <sheet name="dates" sheetId="39" state="hidden" r:id="rId5"/>
    <sheet name="spe_nci" sheetId="18" r:id="rId6"/>
    <sheet name="spe_guarantor" sheetId="41" r:id="rId7"/>
    <sheet name="spe_db_register" sheetId="36" r:id="rId8"/>
    <sheet name="spe_db_racsp" sheetId="38" r:id="rId9"/>
    <sheet name="spe_db_interlinkages" sheetId="30" r:id="rId10"/>
    <sheet name="lists_mult" sheetId="27" state="hidden" r:id="rId11"/>
    <sheet name="lists" sheetId="21" state="hidden" r:id="rId12"/>
  </sheets>
  <externalReferences>
    <externalReference r:id="rId13"/>
  </externalReferences>
  <definedNames>
    <definedName name="_xlnm._FilterDatabase" localSheetId="11" hidden="1">lists!$A$1:$AD$252</definedName>
    <definedName name="_xlnm._FilterDatabase" localSheetId="9" hidden="1">spe_db_interlinkages!$A$1:$M$106</definedName>
    <definedName name="_xlnm._FilterDatabase" localSheetId="7" hidden="1">spe_db_register!$A$4:$I$4</definedName>
    <definedName name="_xlnm._FilterDatabase" localSheetId="6" hidden="1">spe_guarantor!$B$1:$K$1</definedName>
    <definedName name="_xlnm._FilterDatabase" localSheetId="2" hidden="1">spe_originator!$A$1:$J$26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0" i="42" l="1"/>
  <c r="C85" i="39" l="1"/>
  <c r="M2" i="36" l="1"/>
  <c r="F15" i="38" l="1"/>
  <c r="F12" i="38"/>
  <c r="F11" i="38"/>
  <c r="F7" i="38"/>
  <c r="D7" i="38"/>
  <c r="F6" i="38"/>
  <c r="J19" i="38"/>
  <c r="J18" i="38"/>
  <c r="J14" i="38"/>
  <c r="J7" i="38"/>
  <c r="J53" i="36"/>
  <c r="J52" i="36"/>
  <c r="J51" i="36"/>
  <c r="J49" i="36"/>
  <c r="J48" i="36"/>
  <c r="F48" i="36"/>
  <c r="J36" i="36"/>
  <c r="J35" i="36"/>
  <c r="F23" i="36"/>
  <c r="F21" i="36"/>
  <c r="F20" i="36"/>
  <c r="F19" i="36"/>
  <c r="F18" i="36"/>
  <c r="J16" i="36"/>
  <c r="F16" i="36"/>
  <c r="F15" i="36"/>
  <c r="F14" i="36"/>
  <c r="F12" i="36"/>
  <c r="J7" i="36"/>
  <c r="F7" i="36"/>
  <c r="D7" i="36"/>
  <c r="F6" i="36"/>
  <c r="I117" i="42" l="1"/>
  <c r="D16" i="36" s="1"/>
  <c r="F117" i="42"/>
  <c r="D117" i="42"/>
  <c r="E114" i="42"/>
  <c r="E113" i="42"/>
  <c r="L111" i="42"/>
  <c r="F13" i="36" s="1"/>
  <c r="K111" i="42"/>
  <c r="J111" i="42"/>
  <c r="I111" i="42"/>
  <c r="K110" i="42"/>
  <c r="J110" i="42"/>
  <c r="I110" i="42"/>
  <c r="L109" i="42"/>
  <c r="I109" i="42"/>
  <c r="J109" i="42" s="1"/>
  <c r="I108" i="42"/>
  <c r="I104" i="42"/>
  <c r="L97" i="42"/>
  <c r="F53" i="36" s="1"/>
  <c r="I97" i="42"/>
  <c r="D53" i="36" s="1"/>
  <c r="F97" i="42"/>
  <c r="L96" i="42"/>
  <c r="F52" i="36" s="1"/>
  <c r="I96" i="42"/>
  <c r="D52" i="36" s="1"/>
  <c r="F96" i="42"/>
  <c r="L95" i="42"/>
  <c r="F51" i="36" s="1"/>
  <c r="I95" i="42"/>
  <c r="D51" i="36" s="1"/>
  <c r="F95" i="42"/>
  <c r="L94" i="42"/>
  <c r="F50" i="36" s="1"/>
  <c r="I94" i="42"/>
  <c r="L93" i="42"/>
  <c r="F49" i="36" s="1"/>
  <c r="I93" i="42"/>
  <c r="D49" i="36" s="1"/>
  <c r="F93" i="42"/>
  <c r="F89" i="42"/>
  <c r="D89" i="42"/>
  <c r="I89" i="42" s="1"/>
  <c r="I87" i="42"/>
  <c r="F87" i="42"/>
  <c r="L86" i="42"/>
  <c r="F17" i="38" s="1"/>
  <c r="K86" i="42"/>
  <c r="J86" i="42"/>
  <c r="I86" i="42"/>
  <c r="L85" i="42"/>
  <c r="F16" i="38" s="1"/>
  <c r="I85" i="42"/>
  <c r="J85" i="42" s="1"/>
  <c r="I84" i="42"/>
  <c r="J84" i="42" s="1"/>
  <c r="I82" i="42"/>
  <c r="F82" i="42"/>
  <c r="L81" i="42"/>
  <c r="F13" i="38" s="1"/>
  <c r="K81" i="42"/>
  <c r="J81" i="42"/>
  <c r="I79" i="42"/>
  <c r="F75" i="42"/>
  <c r="E75" i="42"/>
  <c r="I73" i="42"/>
  <c r="F73" i="42"/>
  <c r="D73" i="42"/>
  <c r="L70" i="42"/>
  <c r="F47" i="36" s="1"/>
  <c r="I70" i="42"/>
  <c r="I71" i="42" s="1"/>
  <c r="L68" i="42"/>
  <c r="I68" i="42"/>
  <c r="I67" i="42"/>
  <c r="D46" i="36" s="1"/>
  <c r="E67" i="42"/>
  <c r="L66" i="42"/>
  <c r="F45" i="36" s="1"/>
  <c r="I66" i="42"/>
  <c r="I64" i="42"/>
  <c r="D64" i="42"/>
  <c r="I62" i="42"/>
  <c r="K62" i="42" s="1"/>
  <c r="D62" i="42"/>
  <c r="I50" i="42"/>
  <c r="D40" i="36" s="1"/>
  <c r="I46" i="42"/>
  <c r="D39" i="36" s="1"/>
  <c r="E46" i="42"/>
  <c r="I45" i="42"/>
  <c r="D38" i="36" s="1"/>
  <c r="E45" i="42"/>
  <c r="I44" i="42"/>
  <c r="I42" i="42"/>
  <c r="F42" i="42"/>
  <c r="I41" i="42"/>
  <c r="D35" i="36" s="1"/>
  <c r="F41" i="42"/>
  <c r="I39" i="42"/>
  <c r="I38" i="42"/>
  <c r="I37" i="42"/>
  <c r="I34" i="42"/>
  <c r="D27" i="36" s="1"/>
  <c r="I31" i="42"/>
  <c r="J31" i="42" s="1"/>
  <c r="I27" i="42"/>
  <c r="I19" i="42"/>
  <c r="J19" i="42" s="1"/>
  <c r="I18" i="42"/>
  <c r="I17" i="42"/>
  <c r="I16" i="42"/>
  <c r="I15" i="42"/>
  <c r="I14" i="42"/>
  <c r="I13" i="42"/>
  <c r="D17" i="36" s="1"/>
  <c r="I11" i="42"/>
  <c r="I9" i="42"/>
  <c r="L9" i="42" s="1"/>
  <c r="F7" i="42"/>
  <c r="K7" i="42" s="1"/>
  <c r="E7" i="42"/>
  <c r="I5" i="42"/>
  <c r="K5" i="42" s="1"/>
  <c r="I3" i="42"/>
  <c r="L44" i="42" s="1"/>
  <c r="F37" i="36" s="1"/>
  <c r="C1" i="42"/>
  <c r="J34" i="42" l="1"/>
  <c r="K34" i="42"/>
  <c r="L34" i="42"/>
  <c r="F27" i="36" s="1"/>
  <c r="L5" i="42"/>
  <c r="F9" i="36" s="1"/>
  <c r="F110" i="42"/>
  <c r="J12" i="36" s="1"/>
  <c r="J5" i="42"/>
  <c r="F5" i="42" s="1"/>
  <c r="K13" i="42"/>
  <c r="K17" i="42"/>
  <c r="D21" i="36"/>
  <c r="F81" i="42"/>
  <c r="J13" i="38" s="1"/>
  <c r="F111" i="42"/>
  <c r="J13" i="36" s="1"/>
  <c r="F10" i="38"/>
  <c r="F11" i="36"/>
  <c r="D11" i="36"/>
  <c r="D10" i="38"/>
  <c r="I113" i="42"/>
  <c r="J113" i="42" s="1"/>
  <c r="K108" i="42"/>
  <c r="D6" i="38"/>
  <c r="D6" i="36"/>
  <c r="J108" i="42"/>
  <c r="L104" i="42"/>
  <c r="F54" i="36" s="1"/>
  <c r="D54" i="36"/>
  <c r="K94" i="42"/>
  <c r="D50" i="36"/>
  <c r="F86" i="42"/>
  <c r="J17" i="38" s="1"/>
  <c r="K85" i="42"/>
  <c r="F85" i="42" s="1"/>
  <c r="J16" i="38" s="1"/>
  <c r="D16" i="38"/>
  <c r="K80" i="42"/>
  <c r="D12" i="38"/>
  <c r="K84" i="42"/>
  <c r="F84" i="42" s="1"/>
  <c r="J15" i="38" s="1"/>
  <c r="D15" i="38"/>
  <c r="K79" i="42"/>
  <c r="D11" i="38"/>
  <c r="L89" i="42"/>
  <c r="D19" i="38"/>
  <c r="L71" i="42"/>
  <c r="D47" i="36"/>
  <c r="AR2" i="36" s="1"/>
  <c r="K70" i="42"/>
  <c r="J67" i="42"/>
  <c r="K67" i="42"/>
  <c r="L67" i="42"/>
  <c r="F46" i="36" s="1"/>
  <c r="K68" i="42"/>
  <c r="D45" i="36"/>
  <c r="J66" i="42"/>
  <c r="J68" i="42"/>
  <c r="K50" i="42"/>
  <c r="I54" i="42"/>
  <c r="D42" i="36" s="1"/>
  <c r="L45" i="42"/>
  <c r="F38" i="36" s="1"/>
  <c r="L46" i="42"/>
  <c r="F39" i="36" s="1"/>
  <c r="K46" i="42"/>
  <c r="D37" i="36"/>
  <c r="J44" i="42"/>
  <c r="J45" i="42"/>
  <c r="J46" i="42"/>
  <c r="L42" i="42"/>
  <c r="F36" i="36" s="1"/>
  <c r="D36" i="36"/>
  <c r="L41" i="42"/>
  <c r="F35" i="36" s="1"/>
  <c r="K38" i="42"/>
  <c r="D33" i="36"/>
  <c r="L37" i="42"/>
  <c r="F32" i="36" s="1"/>
  <c r="D32" i="36"/>
  <c r="K31" i="42"/>
  <c r="F31" i="42" s="1"/>
  <c r="J25" i="36" s="1"/>
  <c r="D25" i="36"/>
  <c r="L31" i="42"/>
  <c r="F25" i="36" s="1"/>
  <c r="I32" i="42"/>
  <c r="L27" i="42"/>
  <c r="F31" i="36" s="1"/>
  <c r="D31" i="36"/>
  <c r="L18" i="42"/>
  <c r="F22" i="36" s="1"/>
  <c r="D22" i="36"/>
  <c r="K19" i="42"/>
  <c r="D23" i="36"/>
  <c r="K16" i="42"/>
  <c r="D20" i="36"/>
  <c r="K15" i="42"/>
  <c r="D19" i="36"/>
  <c r="K14" i="42"/>
  <c r="D18" i="36"/>
  <c r="J13" i="42"/>
  <c r="J11" i="42"/>
  <c r="D10" i="36"/>
  <c r="K11" i="42"/>
  <c r="F8" i="36"/>
  <c r="F8" i="38"/>
  <c r="K9" i="42"/>
  <c r="D8" i="36"/>
  <c r="D8" i="38"/>
  <c r="J9" i="42"/>
  <c r="F9" i="38"/>
  <c r="D9" i="36"/>
  <c r="D9" i="38"/>
  <c r="D5" i="36"/>
  <c r="D5" i="38"/>
  <c r="K39" i="42"/>
  <c r="D34" i="36"/>
  <c r="J38" i="42"/>
  <c r="L38" i="42"/>
  <c r="F33" i="36" s="1"/>
  <c r="J39" i="42"/>
  <c r="F39" i="42" s="1"/>
  <c r="J34" i="36" s="1"/>
  <c r="L3" i="42"/>
  <c r="I7" i="42"/>
  <c r="L11" i="42"/>
  <c r="F10" i="36" s="1"/>
  <c r="J14" i="42"/>
  <c r="J15" i="42"/>
  <c r="J16" i="42"/>
  <c r="J17" i="42"/>
  <c r="J18" i="42"/>
  <c r="K23" i="42"/>
  <c r="J27" i="42"/>
  <c r="I29" i="42"/>
  <c r="D24" i="36" s="1"/>
  <c r="J37" i="42"/>
  <c r="L39" i="42"/>
  <c r="F34" i="36" s="1"/>
  <c r="K45" i="42"/>
  <c r="L50" i="42"/>
  <c r="F40" i="36" s="1"/>
  <c r="I56" i="42"/>
  <c r="J56" i="42" s="1"/>
  <c r="J62" i="42"/>
  <c r="F62" i="42" s="1"/>
  <c r="J71" i="42"/>
  <c r="J94" i="42"/>
  <c r="C101" i="42"/>
  <c r="J104" i="42"/>
  <c r="I114" i="42"/>
  <c r="L13" i="42"/>
  <c r="F17" i="36" s="1"/>
  <c r="K18" i="42"/>
  <c r="K37" i="42"/>
  <c r="D71" i="42"/>
  <c r="K71" i="42"/>
  <c r="K104" i="42"/>
  <c r="J7" i="42"/>
  <c r="L24" i="42"/>
  <c r="F29" i="36" s="1"/>
  <c r="L25" i="42"/>
  <c r="F30" i="36" s="1"/>
  <c r="K27" i="42"/>
  <c r="I58" i="42"/>
  <c r="J64" i="42"/>
  <c r="J3" i="42"/>
  <c r="I23" i="42"/>
  <c r="K44" i="42"/>
  <c r="J50" i="42"/>
  <c r="I52" i="42"/>
  <c r="K64" i="42"/>
  <c r="K66" i="42"/>
  <c r="D68" i="42"/>
  <c r="J70" i="42"/>
  <c r="F70" i="42" s="1"/>
  <c r="J47" i="36" s="1"/>
  <c r="J79" i="42"/>
  <c r="J80" i="42"/>
  <c r="C108" i="42"/>
  <c r="K109" i="42"/>
  <c r="F109" i="42" s="1"/>
  <c r="K3" i="42"/>
  <c r="F108" i="42" l="1"/>
  <c r="F79" i="42"/>
  <c r="J11" i="38" s="1"/>
  <c r="F50" i="42"/>
  <c r="J40" i="36" s="1"/>
  <c r="F34" i="42"/>
  <c r="J27" i="36" s="1"/>
  <c r="F94" i="42"/>
  <c r="J50" i="36" s="1"/>
  <c r="J54" i="42"/>
  <c r="K56" i="42"/>
  <c r="F56" i="42" s="1"/>
  <c r="J43" i="36" s="1"/>
  <c r="L54" i="42"/>
  <c r="F42" i="36" s="1"/>
  <c r="K54" i="42"/>
  <c r="F45" i="42"/>
  <c r="J38" i="36" s="1"/>
  <c r="F38" i="42"/>
  <c r="J33" i="36" s="1"/>
  <c r="F9" i="42"/>
  <c r="J8" i="38" s="1"/>
  <c r="F67" i="42"/>
  <c r="J46" i="36" s="1"/>
  <c r="J114" i="42"/>
  <c r="D15" i="36"/>
  <c r="J11" i="36"/>
  <c r="J10" i="38"/>
  <c r="K113" i="42"/>
  <c r="F113" i="42" s="1"/>
  <c r="J14" i="36" s="1"/>
  <c r="D14" i="36"/>
  <c r="J6" i="38"/>
  <c r="J6" i="36"/>
  <c r="F80" i="42"/>
  <c r="J12" i="38" s="1"/>
  <c r="F66" i="42"/>
  <c r="J45" i="36" s="1"/>
  <c r="F68" i="42"/>
  <c r="K58" i="42"/>
  <c r="D44" i="36"/>
  <c r="J52" i="42"/>
  <c r="D41" i="36"/>
  <c r="L52" i="42"/>
  <c r="F41" i="36" s="1"/>
  <c r="L56" i="42"/>
  <c r="F43" i="36" s="1"/>
  <c r="D43" i="36"/>
  <c r="F44" i="42"/>
  <c r="J37" i="36" s="1"/>
  <c r="F46" i="42"/>
  <c r="J39" i="36" s="1"/>
  <c r="J32" i="42"/>
  <c r="D26" i="36"/>
  <c r="K32" i="42"/>
  <c r="L29" i="42"/>
  <c r="F24" i="36" s="1"/>
  <c r="J20" i="42"/>
  <c r="K20" i="42"/>
  <c r="F11" i="42"/>
  <c r="J10" i="36" s="1"/>
  <c r="J9" i="36"/>
  <c r="J9" i="38"/>
  <c r="F5" i="38"/>
  <c r="F5" i="36"/>
  <c r="D28" i="36"/>
  <c r="L23" i="42"/>
  <c r="F28" i="36" s="1"/>
  <c r="F64" i="42"/>
  <c r="I24" i="42"/>
  <c r="I25" i="42" s="1"/>
  <c r="J23" i="42"/>
  <c r="F23" i="42" s="1"/>
  <c r="J28" i="36" s="1"/>
  <c r="F27" i="42"/>
  <c r="J31" i="36" s="1"/>
  <c r="J58" i="42"/>
  <c r="F3" i="42"/>
  <c r="F71" i="42"/>
  <c r="F104" i="42"/>
  <c r="J54" i="36" s="1"/>
  <c r="K52" i="42"/>
  <c r="F52" i="42" s="1"/>
  <c r="J41" i="36" s="1"/>
  <c r="F37" i="42"/>
  <c r="J32" i="36" s="1"/>
  <c r="K114" i="42"/>
  <c r="F114" i="42" s="1"/>
  <c r="J15" i="36" s="1"/>
  <c r="L58" i="42"/>
  <c r="F44" i="36" s="1"/>
  <c r="J29" i="42"/>
  <c r="F29" i="42" s="1"/>
  <c r="J24" i="36" s="1"/>
  <c r="L32" i="42"/>
  <c r="F26" i="36" s="1"/>
  <c r="J115" i="42"/>
  <c r="F54" i="42" l="1"/>
  <c r="J42" i="36" s="1"/>
  <c r="J8" i="36"/>
  <c r="K105" i="42"/>
  <c r="F58" i="42"/>
  <c r="J44" i="36" s="1"/>
  <c r="F32" i="42"/>
  <c r="J26" i="36" s="1"/>
  <c r="F18" i="42"/>
  <c r="J22" i="36" s="1"/>
  <c r="F15" i="42"/>
  <c r="J19" i="36" s="1"/>
  <c r="F19" i="42"/>
  <c r="J23" i="36" s="1"/>
  <c r="F16" i="42"/>
  <c r="J20" i="36" s="1"/>
  <c r="F13" i="42"/>
  <c r="J17" i="36" s="1"/>
  <c r="F17" i="42"/>
  <c r="J21" i="36" s="1"/>
  <c r="F14" i="42"/>
  <c r="J18" i="36" s="1"/>
  <c r="J25" i="42"/>
  <c r="F25" i="42" s="1"/>
  <c r="J30" i="36" s="1"/>
  <c r="D30" i="36"/>
  <c r="J5" i="38"/>
  <c r="J55" i="36"/>
  <c r="J5" i="36"/>
  <c r="J24" i="42"/>
  <c r="F24" i="42" s="1"/>
  <c r="J29" i="36" s="1"/>
  <c r="D29" i="36"/>
  <c r="K115" i="42"/>
  <c r="D106" i="42" s="1"/>
  <c r="J105" i="42" l="1"/>
  <c r="D1" i="42" s="1"/>
  <c r="D103" i="42" s="1"/>
  <c r="C73" i="39"/>
  <c r="C74" i="39" s="1"/>
  <c r="C75" i="39" s="1"/>
  <c r="C76" i="39" s="1"/>
  <c r="C77" i="39" s="1"/>
  <c r="C78" i="39" s="1"/>
  <c r="C79" i="39" s="1"/>
  <c r="C80" i="39" s="1"/>
  <c r="C81" i="39" s="1"/>
  <c r="C82" i="39" s="1"/>
  <c r="C83" i="39" s="1"/>
  <c r="C84" i="39" s="1"/>
  <c r="C72" i="39"/>
  <c r="C25" i="39"/>
  <c r="C24" i="39" s="1"/>
  <c r="C23" i="39" s="1"/>
  <c r="C22" i="39" s="1"/>
  <c r="C21" i="39" s="1"/>
  <c r="C20" i="39" s="1"/>
  <c r="C19" i="39" s="1"/>
  <c r="C18" i="39" s="1"/>
  <c r="C17" i="39" s="1"/>
  <c r="C16" i="39" s="1"/>
  <c r="C15" i="39" s="1"/>
  <c r="C14" i="39" s="1"/>
  <c r="C13" i="39" s="1"/>
  <c r="C12" i="39" s="1"/>
  <c r="C11" i="39" s="1"/>
  <c r="C10" i="39" s="1"/>
  <c r="C9" i="39" s="1"/>
  <c r="C8" i="39" s="1"/>
  <c r="C7" i="39" s="1"/>
  <c r="C6" i="39" s="1"/>
  <c r="C5" i="39" s="1"/>
  <c r="C4" i="39" s="1"/>
  <c r="C3" i="39" s="1"/>
  <c r="C26" i="39"/>
  <c r="D26" i="41" l="1"/>
  <c r="D25" i="41"/>
  <c r="D24" i="41"/>
  <c r="D23" i="41"/>
  <c r="D22" i="41"/>
  <c r="D21" i="41"/>
  <c r="D20" i="41"/>
  <c r="D19" i="41"/>
  <c r="D18" i="41"/>
  <c r="D17" i="41"/>
  <c r="D16" i="41"/>
  <c r="D15" i="41"/>
  <c r="D14" i="41"/>
  <c r="D13" i="41"/>
  <c r="D12" i="41"/>
  <c r="D11" i="41"/>
  <c r="D10" i="41"/>
  <c r="D9" i="41"/>
  <c r="D8" i="41"/>
  <c r="D7" i="41"/>
  <c r="D6" i="41"/>
  <c r="D5" i="41"/>
  <c r="D4" i="41"/>
  <c r="D3" i="41"/>
  <c r="D2" i="41"/>
  <c r="D26" i="18"/>
  <c r="D25" i="18"/>
  <c r="D24" i="18"/>
  <c r="D23" i="18"/>
  <c r="D22" i="18"/>
  <c r="D21" i="18"/>
  <c r="D20" i="18"/>
  <c r="D19" i="18"/>
  <c r="D18" i="18"/>
  <c r="D17" i="18"/>
  <c r="D16" i="18"/>
  <c r="D15" i="18"/>
  <c r="D14" i="18"/>
  <c r="D13" i="18"/>
  <c r="D12" i="18"/>
  <c r="D11" i="18"/>
  <c r="D10" i="18"/>
  <c r="D9" i="18"/>
  <c r="D8" i="18"/>
  <c r="D7" i="18"/>
  <c r="D6" i="18"/>
  <c r="D5" i="18"/>
  <c r="D4" i="18"/>
  <c r="D3" i="18"/>
  <c r="D2" i="18"/>
  <c r="D6" i="17"/>
  <c r="D5" i="17"/>
  <c r="D4" i="17"/>
  <c r="D3" i="17"/>
  <c r="D2" i="17"/>
  <c r="D26" i="16"/>
  <c r="D25" i="16"/>
  <c r="D24" i="16"/>
  <c r="D23" i="16"/>
  <c r="D22" i="16"/>
  <c r="D21" i="16"/>
  <c r="D20" i="16"/>
  <c r="D19" i="16"/>
  <c r="D18" i="16"/>
  <c r="D17" i="16"/>
  <c r="D16" i="16"/>
  <c r="D15" i="16"/>
  <c r="D14" i="16"/>
  <c r="D13" i="16"/>
  <c r="D12" i="16"/>
  <c r="D11" i="16"/>
  <c r="D10" i="16"/>
  <c r="D9" i="16"/>
  <c r="D8" i="16"/>
  <c r="D7" i="16"/>
  <c r="D6" i="16"/>
  <c r="D5" i="16"/>
  <c r="D4" i="16"/>
  <c r="D3" i="16"/>
  <c r="D2" i="16"/>
  <c r="L106" i="30" l="1"/>
  <c r="L105" i="30"/>
  <c r="L104" i="30"/>
  <c r="L103" i="30"/>
  <c r="L102" i="30"/>
  <c r="L101" i="30"/>
  <c r="L100" i="30"/>
  <c r="L99" i="30"/>
  <c r="L98" i="30"/>
  <c r="L97" i="30"/>
  <c r="L96" i="30"/>
  <c r="L95" i="30"/>
  <c r="L94" i="30"/>
  <c r="L93" i="30"/>
  <c r="L92" i="30"/>
  <c r="L91" i="30"/>
  <c r="L90" i="30"/>
  <c r="L89" i="30"/>
  <c r="L88" i="30"/>
  <c r="L87" i="30"/>
  <c r="L86" i="30"/>
  <c r="L85" i="30"/>
  <c r="L84" i="30"/>
  <c r="L83" i="30"/>
  <c r="L82" i="30"/>
  <c r="K106" i="30"/>
  <c r="K105" i="30"/>
  <c r="K104" i="30"/>
  <c r="K103" i="30"/>
  <c r="K102" i="30"/>
  <c r="K101" i="30"/>
  <c r="K100" i="30"/>
  <c r="K99" i="30"/>
  <c r="K98" i="30"/>
  <c r="K97" i="30"/>
  <c r="K96" i="30"/>
  <c r="K95" i="30"/>
  <c r="K94" i="30"/>
  <c r="K93" i="30"/>
  <c r="K92" i="30"/>
  <c r="K91" i="30"/>
  <c r="K90" i="30"/>
  <c r="K89" i="30"/>
  <c r="K88" i="30"/>
  <c r="K87" i="30"/>
  <c r="K86" i="30"/>
  <c r="K85" i="30"/>
  <c r="K84" i="30"/>
  <c r="K83" i="30"/>
  <c r="K82" i="30"/>
  <c r="J106" i="30"/>
  <c r="J105" i="30"/>
  <c r="J104" i="30"/>
  <c r="J103" i="30"/>
  <c r="J102" i="30"/>
  <c r="J101" i="30"/>
  <c r="J100" i="30"/>
  <c r="J99" i="30"/>
  <c r="J98" i="30"/>
  <c r="J97" i="30"/>
  <c r="J96" i="30"/>
  <c r="J95" i="30"/>
  <c r="J94" i="30"/>
  <c r="J93" i="30"/>
  <c r="J92" i="30"/>
  <c r="J91" i="30"/>
  <c r="J90" i="30"/>
  <c r="J89" i="30"/>
  <c r="J88" i="30"/>
  <c r="J87" i="30"/>
  <c r="J86" i="30"/>
  <c r="J85" i="30"/>
  <c r="J84" i="30"/>
  <c r="J83" i="30"/>
  <c r="J82" i="30"/>
  <c r="I106" i="30"/>
  <c r="I105" i="30"/>
  <c r="I104" i="30"/>
  <c r="I103" i="30"/>
  <c r="I102" i="30"/>
  <c r="I101" i="30"/>
  <c r="I100" i="30"/>
  <c r="I99" i="30"/>
  <c r="I98" i="30"/>
  <c r="I97" i="30"/>
  <c r="I96" i="30"/>
  <c r="I95" i="30"/>
  <c r="I94" i="30"/>
  <c r="I93" i="30"/>
  <c r="I92" i="30"/>
  <c r="I91" i="30"/>
  <c r="I90" i="30"/>
  <c r="I89" i="30"/>
  <c r="I88" i="30"/>
  <c r="I87" i="30"/>
  <c r="I86" i="30"/>
  <c r="I85" i="30"/>
  <c r="I84" i="30"/>
  <c r="I83" i="30"/>
  <c r="I82" i="30"/>
  <c r="H106" i="30"/>
  <c r="H105" i="30"/>
  <c r="H104" i="30"/>
  <c r="H103" i="30"/>
  <c r="H102" i="30"/>
  <c r="H101" i="30"/>
  <c r="H100" i="30"/>
  <c r="H99" i="30"/>
  <c r="H98" i="30"/>
  <c r="H97" i="30"/>
  <c r="H96" i="30"/>
  <c r="H95" i="30"/>
  <c r="H94" i="30"/>
  <c r="H93" i="30"/>
  <c r="H92" i="30"/>
  <c r="H91" i="30"/>
  <c r="H90" i="30"/>
  <c r="H89" i="30"/>
  <c r="H88" i="30"/>
  <c r="H87" i="30"/>
  <c r="H86" i="30"/>
  <c r="H85" i="30"/>
  <c r="H84" i="30"/>
  <c r="H83" i="30"/>
  <c r="H82" i="30"/>
  <c r="K26" i="41"/>
  <c r="M106" i="30" s="1"/>
  <c r="K25" i="41"/>
  <c r="M105" i="30" s="1"/>
  <c r="K24" i="41"/>
  <c r="M104" i="30" s="1"/>
  <c r="K23" i="41"/>
  <c r="M103" i="30" s="1"/>
  <c r="K22" i="41"/>
  <c r="M102" i="30" s="1"/>
  <c r="K21" i="41"/>
  <c r="M101" i="30" s="1"/>
  <c r="K20" i="41"/>
  <c r="M100" i="30" s="1"/>
  <c r="K19" i="41"/>
  <c r="M99" i="30" s="1"/>
  <c r="K18" i="41"/>
  <c r="M98" i="30" s="1"/>
  <c r="K17" i="41"/>
  <c r="M97" i="30" s="1"/>
  <c r="K16" i="41"/>
  <c r="M96" i="30" s="1"/>
  <c r="K15" i="41"/>
  <c r="M95" i="30" s="1"/>
  <c r="K14" i="41"/>
  <c r="M94" i="30" s="1"/>
  <c r="K13" i="41"/>
  <c r="M93" i="30" s="1"/>
  <c r="K12" i="41"/>
  <c r="M92" i="30" s="1"/>
  <c r="K11" i="41"/>
  <c r="M91" i="30" s="1"/>
  <c r="K10" i="41"/>
  <c r="M90" i="30" s="1"/>
  <c r="K9" i="41"/>
  <c r="M89" i="30" s="1"/>
  <c r="K8" i="41"/>
  <c r="M88" i="30" s="1"/>
  <c r="K7" i="41"/>
  <c r="M87" i="30" s="1"/>
  <c r="K6" i="41"/>
  <c r="M86" i="30" s="1"/>
  <c r="K5" i="41"/>
  <c r="M85" i="30" s="1"/>
  <c r="K4" i="41"/>
  <c r="M84" i="30" s="1"/>
  <c r="K3" i="41"/>
  <c r="M83" i="30" s="1"/>
  <c r="G106" i="30"/>
  <c r="C26" i="41"/>
  <c r="B26" i="41"/>
  <c r="A26" i="41"/>
  <c r="A106" i="30" s="1"/>
  <c r="G105" i="30"/>
  <c r="C25" i="41"/>
  <c r="B25" i="41"/>
  <c r="A25" i="41"/>
  <c r="A105" i="30" s="1"/>
  <c r="G104" i="30"/>
  <c r="C24" i="41"/>
  <c r="B24" i="41"/>
  <c r="A24" i="41"/>
  <c r="A104" i="30" s="1"/>
  <c r="G103" i="30"/>
  <c r="C23" i="41"/>
  <c r="B23" i="41"/>
  <c r="A23" i="41"/>
  <c r="A103" i="30" s="1"/>
  <c r="G102" i="30"/>
  <c r="C22" i="41"/>
  <c r="B22" i="41"/>
  <c r="A22" i="41"/>
  <c r="A102" i="30" s="1"/>
  <c r="G101" i="30"/>
  <c r="C21" i="41"/>
  <c r="B21" i="41"/>
  <c r="A21" i="41"/>
  <c r="A101" i="30" s="1"/>
  <c r="G100" i="30"/>
  <c r="C20" i="41"/>
  <c r="B20" i="41"/>
  <c r="A20" i="41"/>
  <c r="A100" i="30" s="1"/>
  <c r="G99" i="30"/>
  <c r="C19" i="41"/>
  <c r="B19" i="41"/>
  <c r="A19" i="41"/>
  <c r="A99" i="30" s="1"/>
  <c r="G98" i="30"/>
  <c r="C18" i="41"/>
  <c r="B18" i="41"/>
  <c r="A18" i="41"/>
  <c r="A98" i="30" s="1"/>
  <c r="G97" i="30"/>
  <c r="C17" i="41"/>
  <c r="B17" i="41"/>
  <c r="A17" i="41"/>
  <c r="A97" i="30" s="1"/>
  <c r="G96" i="30"/>
  <c r="C16" i="41"/>
  <c r="B16" i="41"/>
  <c r="A16" i="41"/>
  <c r="A96" i="30" s="1"/>
  <c r="G95" i="30"/>
  <c r="C15" i="41"/>
  <c r="B15" i="41"/>
  <c r="A15" i="41"/>
  <c r="A95" i="30" s="1"/>
  <c r="G94" i="30"/>
  <c r="C14" i="41"/>
  <c r="B14" i="41"/>
  <c r="A14" i="41"/>
  <c r="A94" i="30" s="1"/>
  <c r="G93" i="30"/>
  <c r="C13" i="41"/>
  <c r="B13" i="41"/>
  <c r="A13" i="41"/>
  <c r="A93" i="30" s="1"/>
  <c r="G92" i="30"/>
  <c r="C12" i="41"/>
  <c r="B12" i="41"/>
  <c r="A12" i="41"/>
  <c r="A92" i="30" s="1"/>
  <c r="G91" i="30"/>
  <c r="C11" i="41"/>
  <c r="B11" i="41"/>
  <c r="A11" i="41"/>
  <c r="A91" i="30" s="1"/>
  <c r="G90" i="30"/>
  <c r="C10" i="41"/>
  <c r="B10" i="41"/>
  <c r="A10" i="41"/>
  <c r="A90" i="30" s="1"/>
  <c r="G89" i="30"/>
  <c r="C9" i="41"/>
  <c r="B9" i="41"/>
  <c r="A9" i="41"/>
  <c r="A89" i="30" s="1"/>
  <c r="G88" i="30"/>
  <c r="C8" i="41"/>
  <c r="B8" i="41"/>
  <c r="A8" i="41"/>
  <c r="A88" i="30" s="1"/>
  <c r="G87" i="30"/>
  <c r="C7" i="41"/>
  <c r="B7" i="41"/>
  <c r="A7" i="41"/>
  <c r="A87" i="30" s="1"/>
  <c r="G86" i="30"/>
  <c r="C6" i="41"/>
  <c r="B6" i="41"/>
  <c r="A6" i="41"/>
  <c r="A86" i="30" s="1"/>
  <c r="G85" i="30"/>
  <c r="C5" i="41"/>
  <c r="B5" i="41"/>
  <c r="A5" i="41"/>
  <c r="A85" i="30" s="1"/>
  <c r="G84" i="30"/>
  <c r="A4" i="41"/>
  <c r="A84" i="30" s="1"/>
  <c r="G83" i="30"/>
  <c r="A3" i="41"/>
  <c r="A83" i="30" s="1"/>
  <c r="K2" i="41"/>
  <c r="M82" i="30" s="1"/>
  <c r="G82" i="30"/>
  <c r="A2" i="41"/>
  <c r="A82" i="30" s="1"/>
  <c r="J26" i="18" l="1"/>
  <c r="I26" i="18"/>
  <c r="J25" i="18"/>
  <c r="I25" i="18"/>
  <c r="J24" i="18"/>
  <c r="I24" i="18"/>
  <c r="J23" i="18"/>
  <c r="I23" i="18"/>
  <c r="J22" i="18"/>
  <c r="I22" i="18"/>
  <c r="J21" i="18"/>
  <c r="I21" i="18"/>
  <c r="J20" i="18"/>
  <c r="I20" i="18"/>
  <c r="J19" i="18"/>
  <c r="I19" i="18"/>
  <c r="J18" i="18"/>
  <c r="I18" i="18"/>
  <c r="J17" i="18"/>
  <c r="I17" i="18"/>
  <c r="J16" i="18"/>
  <c r="I16" i="18"/>
  <c r="J15" i="18"/>
  <c r="I15" i="18"/>
  <c r="J14" i="18"/>
  <c r="I14" i="18"/>
  <c r="J13" i="18"/>
  <c r="I13" i="18"/>
  <c r="J12" i="18"/>
  <c r="I12" i="18"/>
  <c r="J11" i="18"/>
  <c r="I11" i="18"/>
  <c r="J10" i="18"/>
  <c r="I10" i="18"/>
  <c r="J9" i="18"/>
  <c r="I9" i="18"/>
  <c r="J8" i="18"/>
  <c r="I8" i="18"/>
  <c r="J7" i="18"/>
  <c r="I7" i="18"/>
  <c r="J6" i="18"/>
  <c r="I6" i="18"/>
  <c r="J5" i="18"/>
  <c r="I5" i="18"/>
  <c r="J4" i="18"/>
  <c r="I4" i="18"/>
  <c r="J3" i="18"/>
  <c r="I3" i="18"/>
  <c r="J2" i="18"/>
  <c r="I2" i="18"/>
  <c r="C26" i="18"/>
  <c r="B26" i="18"/>
  <c r="C25" i="18"/>
  <c r="B25" i="18"/>
  <c r="C24" i="18"/>
  <c r="B24" i="18"/>
  <c r="C23" i="18"/>
  <c r="B23" i="18"/>
  <c r="C22" i="18"/>
  <c r="B22" i="18"/>
  <c r="C21" i="18"/>
  <c r="B21" i="18"/>
  <c r="C20" i="18"/>
  <c r="B20" i="18"/>
  <c r="C19" i="18"/>
  <c r="B19" i="18"/>
  <c r="C18" i="18"/>
  <c r="B18" i="18"/>
  <c r="C17" i="18"/>
  <c r="B17" i="18"/>
  <c r="C16" i="18"/>
  <c r="B16" i="18"/>
  <c r="C15" i="18"/>
  <c r="B15" i="18"/>
  <c r="C14" i="18"/>
  <c r="B14" i="18"/>
  <c r="C13" i="18"/>
  <c r="B13" i="18"/>
  <c r="C12" i="18"/>
  <c r="B12" i="18"/>
  <c r="C11" i="18"/>
  <c r="B11" i="18"/>
  <c r="C10" i="18"/>
  <c r="B10" i="18"/>
  <c r="C9" i="18"/>
  <c r="B9" i="18"/>
  <c r="C8" i="18"/>
  <c r="B8" i="18"/>
  <c r="C7" i="18"/>
  <c r="B7" i="18"/>
  <c r="C6" i="18"/>
  <c r="B6" i="18"/>
  <c r="C5" i="18"/>
  <c r="B5" i="18"/>
  <c r="C4" i="18"/>
  <c r="B4" i="18"/>
  <c r="C3" i="18"/>
  <c r="B3" i="18"/>
  <c r="C2" i="18"/>
  <c r="B2" i="18"/>
  <c r="C6" i="17"/>
  <c r="B6" i="17"/>
  <c r="C5" i="17"/>
  <c r="B5" i="17"/>
  <c r="C4" i="17"/>
  <c r="B4" i="17"/>
  <c r="C3" i="17"/>
  <c r="B3" i="17"/>
  <c r="J2" i="17"/>
  <c r="I2" i="17"/>
  <c r="C2" i="17"/>
  <c r="B2" i="17"/>
  <c r="J26" i="16"/>
  <c r="I26" i="16"/>
  <c r="J25" i="16"/>
  <c r="I25" i="16"/>
  <c r="J24" i="16"/>
  <c r="I24" i="16"/>
  <c r="J23" i="16"/>
  <c r="I23" i="16"/>
  <c r="J22" i="16"/>
  <c r="I22" i="16"/>
  <c r="J21" i="16"/>
  <c r="I21" i="16"/>
  <c r="J20" i="16"/>
  <c r="I20" i="16"/>
  <c r="J19" i="16"/>
  <c r="I19" i="16"/>
  <c r="J18" i="16"/>
  <c r="I18" i="16"/>
  <c r="J17" i="16"/>
  <c r="I17" i="16"/>
  <c r="J16" i="16"/>
  <c r="I16" i="16"/>
  <c r="J15" i="16"/>
  <c r="I15" i="16"/>
  <c r="J14" i="16"/>
  <c r="I14" i="16"/>
  <c r="J13" i="16"/>
  <c r="I13" i="16"/>
  <c r="J12" i="16"/>
  <c r="I12" i="16"/>
  <c r="J11" i="16"/>
  <c r="I11" i="16"/>
  <c r="J10" i="16"/>
  <c r="I10" i="16"/>
  <c r="J9" i="16"/>
  <c r="I9" i="16"/>
  <c r="J8" i="16"/>
  <c r="I8" i="16"/>
  <c r="J7" i="16"/>
  <c r="I7" i="16"/>
  <c r="J6" i="16"/>
  <c r="I6" i="16"/>
  <c r="J5" i="16"/>
  <c r="I5" i="16"/>
  <c r="J4" i="16"/>
  <c r="I4" i="16"/>
  <c r="J3" i="16"/>
  <c r="I3" i="16"/>
  <c r="J2" i="16"/>
  <c r="I2" i="16"/>
  <c r="C26" i="16"/>
  <c r="B26" i="16"/>
  <c r="C25" i="16"/>
  <c r="B25" i="16"/>
  <c r="C24" i="16"/>
  <c r="B24" i="16"/>
  <c r="C23" i="16"/>
  <c r="B23" i="16"/>
  <c r="C22" i="16"/>
  <c r="B22" i="16"/>
  <c r="C21" i="16"/>
  <c r="B21" i="16"/>
  <c r="C20" i="16"/>
  <c r="B20" i="16"/>
  <c r="C19" i="16"/>
  <c r="B19" i="16"/>
  <c r="C18" i="16"/>
  <c r="B18" i="16"/>
  <c r="C17" i="16"/>
  <c r="B17" i="16"/>
  <c r="C16" i="16"/>
  <c r="B16" i="16"/>
  <c r="C15" i="16"/>
  <c r="B15" i="16"/>
  <c r="C14" i="16"/>
  <c r="B14" i="16"/>
  <c r="C13" i="16"/>
  <c r="B13" i="16"/>
  <c r="C12" i="16"/>
  <c r="B12" i="16"/>
  <c r="C11" i="16"/>
  <c r="B11" i="16"/>
  <c r="C10" i="16"/>
  <c r="B10" i="16"/>
  <c r="C9" i="16"/>
  <c r="B9" i="16"/>
  <c r="C8" i="16"/>
  <c r="B8" i="16"/>
  <c r="C7" i="16"/>
  <c r="B7" i="16"/>
  <c r="C6" i="16"/>
  <c r="B6" i="16"/>
  <c r="C5" i="16"/>
  <c r="B5" i="16"/>
  <c r="C4" i="16"/>
  <c r="B4" i="16"/>
  <c r="C3" i="16"/>
  <c r="B3" i="16"/>
  <c r="J4" i="15"/>
  <c r="J6" i="15"/>
  <c r="J7" i="15"/>
  <c r="J8" i="15"/>
  <c r="J9" i="15"/>
  <c r="J10" i="15"/>
  <c r="J11" i="15"/>
  <c r="J12" i="15"/>
  <c r="J13" i="15"/>
  <c r="J14" i="15"/>
  <c r="J15" i="15"/>
  <c r="J16" i="15"/>
  <c r="J17" i="15"/>
  <c r="J18" i="15"/>
  <c r="J19" i="15"/>
  <c r="J20" i="15"/>
  <c r="J21" i="15"/>
  <c r="J22" i="15"/>
  <c r="J23" i="15"/>
  <c r="J24" i="15"/>
  <c r="J25" i="15"/>
  <c r="J26" i="15"/>
  <c r="I4" i="15"/>
  <c r="I6" i="15"/>
  <c r="I7" i="15"/>
  <c r="I8" i="15"/>
  <c r="I9" i="15"/>
  <c r="I10" i="15"/>
  <c r="I11" i="15"/>
  <c r="I12" i="15"/>
  <c r="I13" i="15"/>
  <c r="I14" i="15"/>
  <c r="I15" i="15"/>
  <c r="I16" i="15"/>
  <c r="I17" i="15"/>
  <c r="I18" i="15"/>
  <c r="I19" i="15"/>
  <c r="I20" i="15"/>
  <c r="I21" i="15"/>
  <c r="I22" i="15"/>
  <c r="I23" i="15"/>
  <c r="I24" i="15"/>
  <c r="I25" i="15"/>
  <c r="I26" i="15"/>
  <c r="C26" i="15"/>
  <c r="B26" i="15"/>
  <c r="C25" i="15"/>
  <c r="B25" i="15"/>
  <c r="C24" i="15"/>
  <c r="B24" i="15"/>
  <c r="C23" i="15"/>
  <c r="B23" i="15"/>
  <c r="C22" i="15"/>
  <c r="B22" i="15"/>
  <c r="C21" i="15"/>
  <c r="B21" i="15"/>
  <c r="C20" i="15"/>
  <c r="B20" i="15"/>
  <c r="C19" i="15"/>
  <c r="B19" i="15"/>
  <c r="C18" i="15"/>
  <c r="B18" i="15"/>
  <c r="C17" i="15"/>
  <c r="B17" i="15"/>
  <c r="C16" i="15"/>
  <c r="B16" i="15"/>
  <c r="C15" i="15"/>
  <c r="B15" i="15"/>
  <c r="C14" i="15"/>
  <c r="B14" i="15"/>
  <c r="C13" i="15"/>
  <c r="B13" i="15"/>
  <c r="C12" i="15"/>
  <c r="B12" i="15"/>
  <c r="C11" i="15"/>
  <c r="B11" i="15"/>
  <c r="C10" i="15"/>
  <c r="B10" i="15"/>
  <c r="C9" i="15"/>
  <c r="B9" i="15"/>
  <c r="C8" i="15"/>
  <c r="B8" i="15"/>
  <c r="C7" i="15"/>
  <c r="B7" i="15"/>
  <c r="C6" i="15"/>
  <c r="B6" i="15"/>
  <c r="C4" i="15"/>
  <c r="B4" i="15"/>
  <c r="AS2" i="36"/>
  <c r="AK2" i="36" l="1"/>
  <c r="AQ2" i="36"/>
  <c r="AN2" i="36"/>
  <c r="AO2" i="36"/>
  <c r="AL2" i="36" l="1"/>
  <c r="AM2" i="36"/>
  <c r="C114" i="30" l="1"/>
  <c r="AD2" i="36" l="1"/>
  <c r="AC2" i="36"/>
  <c r="G2" i="36"/>
  <c r="AY2" i="36"/>
  <c r="AP2" i="36"/>
  <c r="AI2" i="36"/>
  <c r="AH2" i="36"/>
  <c r="P2" i="36"/>
  <c r="S2" i="36"/>
  <c r="H2" i="38"/>
  <c r="I2" i="38"/>
  <c r="L2" i="38"/>
  <c r="M2" i="38"/>
  <c r="P2" i="38"/>
  <c r="AU2" i="36"/>
  <c r="AV2" i="36"/>
  <c r="AW2" i="36"/>
  <c r="AX2" i="36"/>
  <c r="B2" i="38" l="1"/>
  <c r="G2" i="38"/>
  <c r="H2" i="36"/>
  <c r="AB2" i="36"/>
  <c r="V2" i="36"/>
  <c r="W2" i="36"/>
  <c r="E2" i="36"/>
  <c r="E2" i="38"/>
  <c r="D2" i="36"/>
  <c r="D2" i="38"/>
  <c r="F2" i="38"/>
  <c r="C2" i="16"/>
  <c r="C2" i="38"/>
  <c r="R2" i="36"/>
  <c r="Q2" i="36"/>
  <c r="O2" i="36"/>
  <c r="N2" i="36"/>
  <c r="X2" i="36"/>
  <c r="B2" i="16"/>
  <c r="AJ2" i="36"/>
  <c r="AG2" i="36"/>
  <c r="AF2" i="36"/>
  <c r="B2" i="36"/>
  <c r="AE2" i="36"/>
  <c r="AT2" i="36"/>
  <c r="T2" i="36"/>
  <c r="U2" i="36"/>
  <c r="L2" i="36"/>
  <c r="C3" i="41" l="1"/>
  <c r="C4" i="41"/>
  <c r="C2" i="41"/>
  <c r="B2" i="41"/>
  <c r="B3" i="41"/>
  <c r="B4" i="41"/>
  <c r="Y2" i="36"/>
  <c r="F2" i="36"/>
  <c r="C2" i="36"/>
  <c r="K2" i="36"/>
  <c r="D114" i="30"/>
  <c r="Z2" i="36"/>
  <c r="B114" i="30" l="1"/>
  <c r="E114" i="30"/>
  <c r="I81" i="30"/>
  <c r="I80" i="30"/>
  <c r="I79" i="30"/>
  <c r="I78" i="30"/>
  <c r="I77" i="30"/>
  <c r="I76" i="30"/>
  <c r="I75" i="30"/>
  <c r="I74" i="30"/>
  <c r="I73" i="30"/>
  <c r="I72" i="30"/>
  <c r="I71" i="30"/>
  <c r="I70" i="30"/>
  <c r="I69" i="30"/>
  <c r="I68" i="30"/>
  <c r="I67" i="30"/>
  <c r="I66" i="30"/>
  <c r="I65" i="30"/>
  <c r="I64" i="30"/>
  <c r="I63" i="30"/>
  <c r="I62" i="30"/>
  <c r="I61" i="30"/>
  <c r="I60" i="30"/>
  <c r="I59" i="30"/>
  <c r="I58" i="30"/>
  <c r="I57" i="30"/>
  <c r="I56" i="30"/>
  <c r="I55" i="30"/>
  <c r="I54" i="30"/>
  <c r="I53" i="30"/>
  <c r="I52" i="30"/>
  <c r="I51" i="30"/>
  <c r="I50" i="30"/>
  <c r="I49" i="30"/>
  <c r="I48" i="30"/>
  <c r="I47" i="30"/>
  <c r="I46" i="30"/>
  <c r="I45" i="30"/>
  <c r="I44" i="30"/>
  <c r="I43" i="30"/>
  <c r="I42" i="30"/>
  <c r="I41" i="30"/>
  <c r="I40" i="30"/>
  <c r="I39" i="30"/>
  <c r="I38" i="30"/>
  <c r="I37" i="30"/>
  <c r="I36" i="30"/>
  <c r="I35" i="30"/>
  <c r="I34" i="30"/>
  <c r="I33" i="30"/>
  <c r="I32" i="30"/>
  <c r="I31" i="30"/>
  <c r="I30" i="30"/>
  <c r="I29" i="30"/>
  <c r="I28" i="30"/>
  <c r="I27" i="30"/>
  <c r="I26" i="30"/>
  <c r="I25" i="30"/>
  <c r="I24" i="30"/>
  <c r="I23" i="30"/>
  <c r="I22" i="30"/>
  <c r="I21" i="30"/>
  <c r="I20" i="30"/>
  <c r="I19" i="30"/>
  <c r="I18" i="30"/>
  <c r="I17" i="30"/>
  <c r="I16" i="30"/>
  <c r="I15" i="30"/>
  <c r="I14" i="30"/>
  <c r="I13" i="30"/>
  <c r="I12" i="30"/>
  <c r="I11" i="30"/>
  <c r="I10" i="30"/>
  <c r="I9" i="30"/>
  <c r="I8" i="30"/>
  <c r="I7" i="30"/>
  <c r="I6" i="30"/>
  <c r="I5" i="30"/>
  <c r="I4" i="30"/>
  <c r="I3" i="30"/>
  <c r="I2" i="30"/>
  <c r="H81" i="30"/>
  <c r="H80" i="30"/>
  <c r="H79" i="30"/>
  <c r="H78" i="30"/>
  <c r="H77" i="30"/>
  <c r="H76" i="30"/>
  <c r="H75" i="30"/>
  <c r="H74" i="30"/>
  <c r="H73" i="30"/>
  <c r="H72" i="30"/>
  <c r="H71" i="30"/>
  <c r="H70" i="30"/>
  <c r="H69" i="30"/>
  <c r="H68" i="30"/>
  <c r="H67" i="30"/>
  <c r="H66" i="30"/>
  <c r="H65" i="30"/>
  <c r="H64" i="30"/>
  <c r="H63" i="30"/>
  <c r="H62" i="30"/>
  <c r="H61" i="30"/>
  <c r="H60" i="30"/>
  <c r="H59" i="30"/>
  <c r="H58" i="30"/>
  <c r="H57" i="30"/>
  <c r="H56" i="30"/>
  <c r="H55" i="30"/>
  <c r="H54" i="30"/>
  <c r="H53" i="30"/>
  <c r="H52" i="30"/>
  <c r="H51" i="30"/>
  <c r="H50" i="30"/>
  <c r="H49" i="30"/>
  <c r="H48" i="30"/>
  <c r="H47" i="30"/>
  <c r="H46" i="30"/>
  <c r="H45" i="30"/>
  <c r="H44" i="30"/>
  <c r="H43" i="30"/>
  <c r="H42" i="30"/>
  <c r="H41" i="30"/>
  <c r="H40" i="30"/>
  <c r="H39" i="30"/>
  <c r="H38" i="30"/>
  <c r="H37" i="30"/>
  <c r="H36" i="30"/>
  <c r="H35" i="30"/>
  <c r="H34" i="30"/>
  <c r="H33" i="30"/>
  <c r="H32" i="30"/>
  <c r="H31" i="30"/>
  <c r="H30" i="30"/>
  <c r="H29" i="30"/>
  <c r="H28" i="30"/>
  <c r="H27" i="30"/>
  <c r="H26" i="30"/>
  <c r="H25" i="30"/>
  <c r="H24" i="30"/>
  <c r="H23" i="30"/>
  <c r="H22" i="30"/>
  <c r="H21" i="30"/>
  <c r="H20" i="30"/>
  <c r="H19" i="30"/>
  <c r="H18" i="30"/>
  <c r="H17" i="30"/>
  <c r="H16" i="30"/>
  <c r="H15" i="30"/>
  <c r="H14" i="30"/>
  <c r="H13" i="30"/>
  <c r="H12" i="30"/>
  <c r="H11" i="30"/>
  <c r="H10" i="30"/>
  <c r="H9" i="30"/>
  <c r="H8" i="30"/>
  <c r="H7" i="30"/>
  <c r="H6" i="30"/>
  <c r="H4" i="30"/>
  <c r="AA2" i="36" l="1"/>
  <c r="A31" i="39" l="1"/>
  <c r="B31" i="39" s="1"/>
  <c r="D85" i="39" s="1"/>
  <c r="F2" i="39"/>
  <c r="E2" i="39"/>
  <c r="E85" i="39" l="1"/>
  <c r="F85" i="39"/>
  <c r="G85" i="39"/>
  <c r="D72" i="39"/>
  <c r="D73" i="39"/>
  <c r="D74" i="39"/>
  <c r="D75" i="39"/>
  <c r="D76" i="39"/>
  <c r="D77" i="39"/>
  <c r="D78" i="39"/>
  <c r="D79" i="39"/>
  <c r="D80" i="39"/>
  <c r="D81" i="39"/>
  <c r="D82" i="39"/>
  <c r="D83" i="39"/>
  <c r="D84" i="39"/>
  <c r="D27" i="39"/>
  <c r="E27" i="39" s="1"/>
  <c r="D3" i="39"/>
  <c r="D4" i="39"/>
  <c r="D5" i="39"/>
  <c r="D6" i="39"/>
  <c r="D7" i="39"/>
  <c r="D8" i="39"/>
  <c r="D9" i="39"/>
  <c r="D10" i="39"/>
  <c r="D11" i="39"/>
  <c r="D12" i="39"/>
  <c r="D13" i="39"/>
  <c r="D14" i="39"/>
  <c r="D15" i="39"/>
  <c r="D16" i="39"/>
  <c r="D17" i="39"/>
  <c r="D20" i="39"/>
  <c r="D21" i="39"/>
  <c r="D22" i="39"/>
  <c r="D23" i="39"/>
  <c r="D24" i="39"/>
  <c r="D19" i="39"/>
  <c r="D26" i="39"/>
  <c r="D18" i="39"/>
  <c r="D25" i="39"/>
  <c r="D69" i="39"/>
  <c r="G69" i="39" s="1"/>
  <c r="D28" i="39"/>
  <c r="G28" i="39" s="1"/>
  <c r="D30" i="39"/>
  <c r="G30" i="39" s="1"/>
  <c r="D32" i="39"/>
  <c r="G32" i="39" s="1"/>
  <c r="D36" i="39"/>
  <c r="G36" i="39" s="1"/>
  <c r="D40" i="39"/>
  <c r="G40" i="39" s="1"/>
  <c r="D48" i="39"/>
  <c r="G48" i="39" s="1"/>
  <c r="D52" i="39"/>
  <c r="G52" i="39" s="1"/>
  <c r="D56" i="39"/>
  <c r="G56" i="39" s="1"/>
  <c r="D60" i="39"/>
  <c r="G60" i="39" s="1"/>
  <c r="D68" i="39"/>
  <c r="G68" i="39" s="1"/>
  <c r="D29" i="39"/>
  <c r="G29" i="39" s="1"/>
  <c r="D31" i="39"/>
  <c r="G31" i="39" s="1"/>
  <c r="D35" i="39"/>
  <c r="G35" i="39" s="1"/>
  <c r="D39" i="39"/>
  <c r="G39" i="39" s="1"/>
  <c r="D43" i="39"/>
  <c r="G43" i="39" s="1"/>
  <c r="D47" i="39"/>
  <c r="G47" i="39" s="1"/>
  <c r="D51" i="39"/>
  <c r="G51" i="39" s="1"/>
  <c r="D55" i="39"/>
  <c r="G55" i="39" s="1"/>
  <c r="D59" i="39"/>
  <c r="G59" i="39" s="1"/>
  <c r="D63" i="39"/>
  <c r="G63" i="39" s="1"/>
  <c r="D67" i="39"/>
  <c r="G67" i="39" s="1"/>
  <c r="D71" i="39"/>
  <c r="G71" i="39" s="1"/>
  <c r="D44" i="39"/>
  <c r="G44" i="39" s="1"/>
  <c r="D64" i="39"/>
  <c r="G64" i="39" s="1"/>
  <c r="D34" i="39"/>
  <c r="G34" i="39" s="1"/>
  <c r="D38" i="39"/>
  <c r="G38" i="39" s="1"/>
  <c r="D42" i="39"/>
  <c r="G42" i="39" s="1"/>
  <c r="D46" i="39"/>
  <c r="G46" i="39" s="1"/>
  <c r="D50" i="39"/>
  <c r="G50" i="39" s="1"/>
  <c r="D54" i="39"/>
  <c r="G54" i="39" s="1"/>
  <c r="D58" i="39"/>
  <c r="G58" i="39" s="1"/>
  <c r="D62" i="39"/>
  <c r="G62" i="39" s="1"/>
  <c r="D66" i="39"/>
  <c r="G66" i="39" s="1"/>
  <c r="D70" i="39"/>
  <c r="G70" i="39" s="1"/>
  <c r="D33" i="39"/>
  <c r="G33" i="39" s="1"/>
  <c r="D37" i="39"/>
  <c r="G37" i="39" s="1"/>
  <c r="D41" i="39"/>
  <c r="G41" i="39" s="1"/>
  <c r="D45" i="39"/>
  <c r="G45" i="39" s="1"/>
  <c r="D49" i="39"/>
  <c r="G49" i="39" s="1"/>
  <c r="D53" i="39"/>
  <c r="G53" i="39" s="1"/>
  <c r="D57" i="39"/>
  <c r="G57" i="39" s="1"/>
  <c r="D61" i="39"/>
  <c r="G61" i="39" s="1"/>
  <c r="D65" i="39"/>
  <c r="G65" i="39" s="1"/>
  <c r="E83" i="39" l="1"/>
  <c r="F83" i="39"/>
  <c r="G83" i="39"/>
  <c r="G27" i="39"/>
  <c r="E82" i="39"/>
  <c r="F82" i="39"/>
  <c r="G82" i="39"/>
  <c r="E78" i="39"/>
  <c r="F78" i="39"/>
  <c r="G78" i="39"/>
  <c r="E74" i="39"/>
  <c r="F74" i="39"/>
  <c r="G74" i="39"/>
  <c r="E79" i="39"/>
  <c r="G79" i="39"/>
  <c r="F79" i="39"/>
  <c r="F27" i="39"/>
  <c r="E81" i="39"/>
  <c r="G81" i="39"/>
  <c r="F81" i="39"/>
  <c r="E77" i="39"/>
  <c r="G77" i="39"/>
  <c r="F77" i="39"/>
  <c r="E73" i="39"/>
  <c r="G73" i="39"/>
  <c r="F73" i="39"/>
  <c r="E75" i="39"/>
  <c r="G75" i="39"/>
  <c r="F75" i="39"/>
  <c r="E84" i="39"/>
  <c r="G84" i="39"/>
  <c r="F84" i="39"/>
  <c r="E80" i="39"/>
  <c r="F80" i="39"/>
  <c r="G80" i="39"/>
  <c r="E76" i="39"/>
  <c r="F76" i="39"/>
  <c r="G76" i="39"/>
  <c r="E72" i="39"/>
  <c r="F72" i="39"/>
  <c r="G72" i="39"/>
  <c r="E18" i="39"/>
  <c r="G18" i="39"/>
  <c r="F18" i="39"/>
  <c r="E17" i="39"/>
  <c r="F17" i="39"/>
  <c r="G17" i="39"/>
  <c r="E9" i="39"/>
  <c r="F9" i="39"/>
  <c r="G9" i="39"/>
  <c r="E26" i="39"/>
  <c r="G26" i="39"/>
  <c r="F26" i="39"/>
  <c r="E22" i="39"/>
  <c r="G22" i="39"/>
  <c r="F22" i="39"/>
  <c r="E16" i="39"/>
  <c r="G16" i="39"/>
  <c r="F16" i="39"/>
  <c r="E12" i="39"/>
  <c r="G12" i="39"/>
  <c r="F12" i="39"/>
  <c r="E8" i="39"/>
  <c r="G8" i="39"/>
  <c r="F8" i="39"/>
  <c r="E4" i="39"/>
  <c r="F4" i="39"/>
  <c r="G4" i="39"/>
  <c r="E23" i="39"/>
  <c r="F23" i="39"/>
  <c r="G23" i="39"/>
  <c r="E5" i="39"/>
  <c r="F5" i="39"/>
  <c r="G5" i="39"/>
  <c r="E19" i="39"/>
  <c r="F19" i="39"/>
  <c r="G19" i="39"/>
  <c r="E21" i="39"/>
  <c r="F21" i="39"/>
  <c r="G21" i="39"/>
  <c r="E15" i="39"/>
  <c r="F15" i="39"/>
  <c r="G15" i="39"/>
  <c r="E11" i="39"/>
  <c r="F11" i="39"/>
  <c r="G11" i="39"/>
  <c r="E7" i="39"/>
  <c r="F7" i="39"/>
  <c r="G7" i="39"/>
  <c r="E3" i="39"/>
  <c r="G3" i="39"/>
  <c r="F3" i="39"/>
  <c r="E13" i="39"/>
  <c r="F13" i="39"/>
  <c r="G13" i="39"/>
  <c r="E25" i="39"/>
  <c r="F25" i="39"/>
  <c r="G25" i="39"/>
  <c r="E24" i="39"/>
  <c r="G24" i="39"/>
  <c r="F24" i="39"/>
  <c r="E20" i="39"/>
  <c r="G20" i="39"/>
  <c r="F20" i="39"/>
  <c r="E14" i="39"/>
  <c r="G14" i="39"/>
  <c r="F14" i="39"/>
  <c r="E10" i="39"/>
  <c r="G10" i="39"/>
  <c r="F10" i="39"/>
  <c r="E6" i="39"/>
  <c r="G6" i="39"/>
  <c r="F6" i="39"/>
  <c r="E28" i="39"/>
  <c r="F28" i="39"/>
  <c r="F69" i="39"/>
  <c r="E69" i="39"/>
  <c r="F65" i="39"/>
  <c r="E65" i="39"/>
  <c r="E33" i="39"/>
  <c r="F33" i="39"/>
  <c r="E42" i="39"/>
  <c r="F42" i="39"/>
  <c r="F59" i="39"/>
  <c r="E59" i="39"/>
  <c r="F29" i="39"/>
  <c r="E29" i="39"/>
  <c r="F52" i="39"/>
  <c r="E52" i="39"/>
  <c r="F32" i="39"/>
  <c r="E32" i="39"/>
  <c r="E61" i="39"/>
  <c r="F61" i="39"/>
  <c r="E45" i="39"/>
  <c r="F45" i="39"/>
  <c r="E70" i="39"/>
  <c r="F70" i="39"/>
  <c r="E54" i="39"/>
  <c r="F54" i="39"/>
  <c r="E38" i="39"/>
  <c r="F38" i="39"/>
  <c r="F71" i="39"/>
  <c r="E71" i="39"/>
  <c r="F55" i="39"/>
  <c r="E55" i="39"/>
  <c r="F39" i="39"/>
  <c r="E39" i="39"/>
  <c r="F68" i="39"/>
  <c r="E68" i="39"/>
  <c r="F48" i="39"/>
  <c r="E48" i="39"/>
  <c r="F30" i="39"/>
  <c r="E30" i="39"/>
  <c r="E49" i="39"/>
  <c r="F49" i="39"/>
  <c r="E58" i="39"/>
  <c r="F58" i="39"/>
  <c r="F44" i="39"/>
  <c r="E44" i="39"/>
  <c r="F43" i="39"/>
  <c r="E43" i="39"/>
  <c r="E57" i="39"/>
  <c r="F57" i="39"/>
  <c r="E41" i="39"/>
  <c r="F41" i="39"/>
  <c r="E66" i="39"/>
  <c r="F66" i="39"/>
  <c r="E50" i="39"/>
  <c r="F50" i="39"/>
  <c r="E34" i="39"/>
  <c r="F34" i="39"/>
  <c r="F67" i="39"/>
  <c r="E67" i="39"/>
  <c r="F51" i="39"/>
  <c r="E51" i="39"/>
  <c r="F35" i="39"/>
  <c r="E35" i="39"/>
  <c r="F60" i="39"/>
  <c r="E60" i="39"/>
  <c r="F40" i="39"/>
  <c r="E40" i="39"/>
  <c r="E53" i="39"/>
  <c r="F53" i="39"/>
  <c r="E37" i="39"/>
  <c r="F37" i="39"/>
  <c r="E62" i="39"/>
  <c r="F62" i="39"/>
  <c r="E46" i="39"/>
  <c r="F46" i="39"/>
  <c r="F64" i="39"/>
  <c r="E64" i="39"/>
  <c r="F63" i="39"/>
  <c r="E63" i="39"/>
  <c r="F47" i="39"/>
  <c r="E47" i="39"/>
  <c r="F31" i="39"/>
  <c r="E31" i="39"/>
  <c r="I81" i="42" s="1"/>
  <c r="F56" i="39"/>
  <c r="E56" i="39"/>
  <c r="F36" i="39"/>
  <c r="E36" i="39"/>
  <c r="D13" i="36" l="1"/>
  <c r="D14" i="38"/>
  <c r="K2" i="38" s="1"/>
  <c r="D18" i="38"/>
  <c r="O2" i="38" s="1"/>
  <c r="D13" i="38"/>
  <c r="J2" i="38" s="1"/>
  <c r="D17" i="38"/>
  <c r="N2" i="38" s="1"/>
  <c r="D12" i="36"/>
  <c r="I2" i="36" s="1"/>
  <c r="J2" i="36"/>
  <c r="K81" i="30"/>
  <c r="J81" i="30"/>
  <c r="K80" i="30"/>
  <c r="J80" i="30"/>
  <c r="K79" i="30"/>
  <c r="J79" i="30"/>
  <c r="K78" i="30"/>
  <c r="J78" i="30"/>
  <c r="K77" i="30"/>
  <c r="J77" i="30"/>
  <c r="K76" i="30"/>
  <c r="J76" i="30"/>
  <c r="K75" i="30"/>
  <c r="J75" i="30"/>
  <c r="K74" i="30"/>
  <c r="J74" i="30"/>
  <c r="K73" i="30"/>
  <c r="J73" i="30"/>
  <c r="K72" i="30"/>
  <c r="J72" i="30"/>
  <c r="K71" i="30"/>
  <c r="J71" i="30"/>
  <c r="K70" i="30"/>
  <c r="J70" i="30"/>
  <c r="K69" i="30"/>
  <c r="J69" i="30"/>
  <c r="K68" i="30"/>
  <c r="J68" i="30"/>
  <c r="K67" i="30"/>
  <c r="J67" i="30"/>
  <c r="K66" i="30"/>
  <c r="J66" i="30"/>
  <c r="K65" i="30"/>
  <c r="J65" i="30"/>
  <c r="K64" i="30"/>
  <c r="J64" i="30"/>
  <c r="K63" i="30"/>
  <c r="J63" i="30"/>
  <c r="K62" i="30"/>
  <c r="J62" i="30"/>
  <c r="K61" i="30"/>
  <c r="J61" i="30"/>
  <c r="K60" i="30"/>
  <c r="J60" i="30"/>
  <c r="K59" i="30"/>
  <c r="J59" i="30"/>
  <c r="K58" i="30"/>
  <c r="J58" i="30"/>
  <c r="K57" i="30"/>
  <c r="J57" i="30"/>
  <c r="J6" i="17"/>
  <c r="I6" i="17"/>
  <c r="J5" i="17"/>
  <c r="I5" i="17"/>
  <c r="J4" i="17"/>
  <c r="I4" i="17"/>
  <c r="J3" i="17"/>
  <c r="I3" i="17"/>
  <c r="K56" i="30"/>
  <c r="J56" i="30"/>
  <c r="K55" i="30"/>
  <c r="J55" i="30"/>
  <c r="K54" i="30"/>
  <c r="J54" i="30"/>
  <c r="K53" i="30"/>
  <c r="J53" i="30"/>
  <c r="K52" i="30"/>
  <c r="J52" i="30"/>
  <c r="K51" i="30"/>
  <c r="J51" i="30"/>
  <c r="K50" i="30"/>
  <c r="J50" i="30"/>
  <c r="K49" i="30"/>
  <c r="J49" i="30"/>
  <c r="K48" i="30"/>
  <c r="J48" i="30"/>
  <c r="K47" i="30"/>
  <c r="J47" i="30"/>
  <c r="K46" i="30"/>
  <c r="J46" i="30"/>
  <c r="K45" i="30"/>
  <c r="J45" i="30"/>
  <c r="K44" i="30"/>
  <c r="J44" i="30"/>
  <c r="K43" i="30"/>
  <c r="J43" i="30"/>
  <c r="K42" i="30"/>
  <c r="J42" i="30"/>
  <c r="K41" i="30"/>
  <c r="J41" i="30"/>
  <c r="K40" i="30"/>
  <c r="J40" i="30"/>
  <c r="K39" i="30"/>
  <c r="J39" i="30"/>
  <c r="K38" i="30"/>
  <c r="J38" i="30"/>
  <c r="K37" i="30"/>
  <c r="J37" i="30"/>
  <c r="K36" i="30"/>
  <c r="J36" i="30"/>
  <c r="K35" i="30"/>
  <c r="J35" i="30"/>
  <c r="K34" i="30"/>
  <c r="J34" i="30"/>
  <c r="K33" i="30"/>
  <c r="J33" i="30"/>
  <c r="K32" i="30"/>
  <c r="J32" i="30"/>
  <c r="K31" i="30"/>
  <c r="J31" i="30"/>
  <c r="K30" i="30"/>
  <c r="J30" i="30"/>
  <c r="K29" i="30"/>
  <c r="J29" i="30"/>
  <c r="K28" i="30"/>
  <c r="J28" i="30"/>
  <c r="K27" i="30"/>
  <c r="K26" i="30"/>
  <c r="K25" i="30"/>
  <c r="K24" i="30"/>
  <c r="K23" i="30"/>
  <c r="K22" i="30"/>
  <c r="K21" i="30"/>
  <c r="K20" i="30"/>
  <c r="K19" i="30"/>
  <c r="K18" i="30"/>
  <c r="K17" i="30"/>
  <c r="K16" i="30"/>
  <c r="K15" i="30"/>
  <c r="K14" i="30"/>
  <c r="K13" i="30"/>
  <c r="K12" i="30"/>
  <c r="K11" i="30"/>
  <c r="K10" i="30"/>
  <c r="K9" i="30"/>
  <c r="K8" i="30"/>
  <c r="K7" i="30"/>
  <c r="K6" i="30"/>
  <c r="K5" i="30"/>
  <c r="K4" i="30"/>
  <c r="K3" i="30"/>
  <c r="K2" i="30"/>
  <c r="J27" i="30"/>
  <c r="J3" i="30"/>
  <c r="J4" i="30"/>
  <c r="J5" i="30"/>
  <c r="J6" i="30"/>
  <c r="J7" i="30"/>
  <c r="J8" i="30"/>
  <c r="J9" i="30"/>
  <c r="J10" i="30"/>
  <c r="J11" i="30"/>
  <c r="J12" i="30"/>
  <c r="J13" i="30"/>
  <c r="J14" i="30"/>
  <c r="J15" i="30"/>
  <c r="J16" i="30"/>
  <c r="J17" i="30"/>
  <c r="J18" i="30"/>
  <c r="J19" i="30"/>
  <c r="J20" i="30"/>
  <c r="J21" i="30"/>
  <c r="J22" i="30"/>
  <c r="J23" i="30"/>
  <c r="J24" i="30"/>
  <c r="J25" i="30"/>
  <c r="J26" i="30"/>
  <c r="J2" i="30"/>
  <c r="G81" i="30" l="1"/>
  <c r="G80" i="30"/>
  <c r="G79" i="30"/>
  <c r="G78" i="30"/>
  <c r="G77" i="30"/>
  <c r="G76" i="30"/>
  <c r="G75" i="30"/>
  <c r="G74" i="30"/>
  <c r="G73" i="30"/>
  <c r="G72" i="30"/>
  <c r="G71" i="30"/>
  <c r="G70" i="30"/>
  <c r="G69" i="30"/>
  <c r="G68" i="30"/>
  <c r="G67" i="30"/>
  <c r="G66" i="30"/>
  <c r="G65" i="30"/>
  <c r="G64" i="30"/>
  <c r="G63" i="30"/>
  <c r="G62" i="30"/>
  <c r="G61" i="30"/>
  <c r="G60" i="30"/>
  <c r="G59" i="30"/>
  <c r="G58" i="30"/>
  <c r="G57" i="30"/>
  <c r="G56" i="30"/>
  <c r="G55" i="30"/>
  <c r="G54" i="30"/>
  <c r="G53" i="30"/>
  <c r="G52" i="30"/>
  <c r="G51" i="30"/>
  <c r="G50" i="30"/>
  <c r="G49" i="30"/>
  <c r="G48" i="30"/>
  <c r="G47" i="30"/>
  <c r="G46" i="30"/>
  <c r="G45" i="30"/>
  <c r="G44" i="30"/>
  <c r="G43" i="30"/>
  <c r="G42" i="30"/>
  <c r="G41" i="30"/>
  <c r="G40" i="30"/>
  <c r="G39" i="30"/>
  <c r="G38" i="30"/>
  <c r="G37" i="30"/>
  <c r="G36" i="30"/>
  <c r="G35" i="30"/>
  <c r="G34" i="30"/>
  <c r="G33" i="30"/>
  <c r="G32" i="30"/>
  <c r="G31" i="30"/>
  <c r="G30" i="30"/>
  <c r="G29" i="30"/>
  <c r="G28" i="30"/>
  <c r="G27" i="30"/>
  <c r="E106" i="30" l="1"/>
  <c r="F106" i="30"/>
  <c r="D106" i="30"/>
  <c r="C106" i="30"/>
  <c r="B106" i="30"/>
  <c r="E94" i="30"/>
  <c r="C94" i="30"/>
  <c r="B94" i="30"/>
  <c r="D94" i="30"/>
  <c r="F94" i="30"/>
  <c r="E86" i="30"/>
  <c r="C86" i="30"/>
  <c r="F86" i="30"/>
  <c r="D86" i="30"/>
  <c r="B86" i="30"/>
  <c r="F101" i="30"/>
  <c r="B101" i="30"/>
  <c r="E101" i="30"/>
  <c r="D101" i="30"/>
  <c r="C101" i="30"/>
  <c r="F93" i="30"/>
  <c r="B93" i="30"/>
  <c r="C93" i="30"/>
  <c r="E93" i="30"/>
  <c r="D93" i="30"/>
  <c r="F85" i="30"/>
  <c r="B85" i="30"/>
  <c r="C85" i="30"/>
  <c r="E85" i="30"/>
  <c r="D85" i="30"/>
  <c r="C104" i="30"/>
  <c r="F104" i="30"/>
  <c r="B104" i="30"/>
  <c r="E104" i="30"/>
  <c r="D104" i="30"/>
  <c r="C100" i="30"/>
  <c r="D100" i="30"/>
  <c r="F100" i="30"/>
  <c r="B100" i="30"/>
  <c r="E100" i="30"/>
  <c r="C96" i="30"/>
  <c r="E96" i="30"/>
  <c r="F96" i="30"/>
  <c r="B96" i="30"/>
  <c r="D96" i="30"/>
  <c r="C92" i="30"/>
  <c r="E92" i="30"/>
  <c r="F92" i="30"/>
  <c r="B92" i="30"/>
  <c r="D92" i="30"/>
  <c r="C88" i="30"/>
  <c r="E88" i="30"/>
  <c r="D88" i="30"/>
  <c r="F88" i="30"/>
  <c r="B88" i="30"/>
  <c r="E102" i="30"/>
  <c r="B102" i="30"/>
  <c r="D102" i="30"/>
  <c r="C102" i="30"/>
  <c r="F102" i="30"/>
  <c r="E98" i="30"/>
  <c r="C98" i="30"/>
  <c r="F98" i="30"/>
  <c r="D98" i="30"/>
  <c r="B98" i="30"/>
  <c r="E90" i="30"/>
  <c r="C90" i="30"/>
  <c r="B90" i="30"/>
  <c r="D90" i="30"/>
  <c r="F90" i="30"/>
  <c r="F105" i="30"/>
  <c r="B105" i="30"/>
  <c r="D105" i="30"/>
  <c r="C105" i="30"/>
  <c r="E105" i="30"/>
  <c r="F97" i="30"/>
  <c r="B97" i="30"/>
  <c r="D97" i="30"/>
  <c r="C97" i="30"/>
  <c r="E97" i="30"/>
  <c r="F89" i="30"/>
  <c r="B89" i="30"/>
  <c r="E89" i="30"/>
  <c r="D89" i="30"/>
  <c r="C89" i="30"/>
  <c r="D103" i="30"/>
  <c r="F103" i="30"/>
  <c r="B103" i="30"/>
  <c r="E103" i="30"/>
  <c r="C103" i="30"/>
  <c r="D99" i="30"/>
  <c r="B99" i="30"/>
  <c r="C99" i="30"/>
  <c r="F99" i="30"/>
  <c r="E99" i="30"/>
  <c r="D95" i="30"/>
  <c r="B95" i="30"/>
  <c r="E95" i="30"/>
  <c r="C95" i="30"/>
  <c r="F95" i="30"/>
  <c r="D91" i="30"/>
  <c r="E91" i="30"/>
  <c r="C91" i="30"/>
  <c r="F91" i="30"/>
  <c r="B91" i="30"/>
  <c r="D87" i="30"/>
  <c r="F87" i="30"/>
  <c r="C87" i="30"/>
  <c r="B87" i="30"/>
  <c r="E87" i="30"/>
  <c r="D84" i="30"/>
  <c r="B84" i="30"/>
  <c r="C84" i="30"/>
  <c r="F84" i="30"/>
  <c r="E84" i="30"/>
  <c r="E83" i="30"/>
  <c r="F83" i="30"/>
  <c r="D83" i="30"/>
  <c r="C83" i="30"/>
  <c r="B83" i="30"/>
  <c r="F82" i="30"/>
  <c r="B82" i="30"/>
  <c r="C82" i="30"/>
  <c r="E82" i="30"/>
  <c r="D82" i="30"/>
  <c r="A2" i="18"/>
  <c r="A57" i="30" s="1"/>
  <c r="E57" i="30" l="1"/>
  <c r="D57" i="30"/>
  <c r="B57" i="30"/>
  <c r="C57" i="30"/>
  <c r="F57" i="30"/>
  <c r="A3" i="18"/>
  <c r="A58" i="30" s="1"/>
  <c r="A4" i="18"/>
  <c r="A59" i="30" s="1"/>
  <c r="A5" i="18"/>
  <c r="A60" i="30" s="1"/>
  <c r="A6" i="18"/>
  <c r="A61" i="30" s="1"/>
  <c r="A7" i="18"/>
  <c r="A62" i="30" s="1"/>
  <c r="A8" i="18"/>
  <c r="A63" i="30" s="1"/>
  <c r="A9" i="18"/>
  <c r="A64" i="30" s="1"/>
  <c r="A10" i="18"/>
  <c r="A65" i="30" s="1"/>
  <c r="A11" i="18"/>
  <c r="A66" i="30" s="1"/>
  <c r="A12" i="18"/>
  <c r="A67" i="30" s="1"/>
  <c r="A13" i="18"/>
  <c r="A68" i="30" s="1"/>
  <c r="A14" i="18"/>
  <c r="A69" i="30" s="1"/>
  <c r="A15" i="18"/>
  <c r="A70" i="30" s="1"/>
  <c r="A16" i="18"/>
  <c r="A71" i="30" s="1"/>
  <c r="A17" i="18"/>
  <c r="A72" i="30" s="1"/>
  <c r="A18" i="18"/>
  <c r="A73" i="30" s="1"/>
  <c r="A19" i="18"/>
  <c r="A74" i="30" s="1"/>
  <c r="A20" i="18"/>
  <c r="A75" i="30" s="1"/>
  <c r="A21" i="18"/>
  <c r="A76" i="30" s="1"/>
  <c r="A22" i="18"/>
  <c r="A77" i="30" s="1"/>
  <c r="A23" i="18"/>
  <c r="A78" i="30" s="1"/>
  <c r="A24" i="18"/>
  <c r="A79" i="30" s="1"/>
  <c r="A25" i="18"/>
  <c r="A80" i="30" s="1"/>
  <c r="A26" i="18"/>
  <c r="A81" i="30" s="1"/>
  <c r="A3" i="16"/>
  <c r="A28" i="30" s="1"/>
  <c r="A4" i="16"/>
  <c r="A29" i="30" s="1"/>
  <c r="A5" i="16"/>
  <c r="A30" i="30" s="1"/>
  <c r="A6" i="16"/>
  <c r="A31" i="30" s="1"/>
  <c r="A7" i="16"/>
  <c r="A32" i="30" s="1"/>
  <c r="A8" i="16"/>
  <c r="A33" i="30" s="1"/>
  <c r="A9" i="16"/>
  <c r="A34" i="30" s="1"/>
  <c r="A10" i="16"/>
  <c r="A35" i="30" s="1"/>
  <c r="A11" i="16"/>
  <c r="A36" i="30" s="1"/>
  <c r="A12" i="16"/>
  <c r="A37" i="30" s="1"/>
  <c r="A13" i="16"/>
  <c r="A38" i="30" s="1"/>
  <c r="A14" i="16"/>
  <c r="A39" i="30" s="1"/>
  <c r="A15" i="16"/>
  <c r="A40" i="30" s="1"/>
  <c r="A16" i="16"/>
  <c r="A41" i="30" s="1"/>
  <c r="A17" i="16"/>
  <c r="A42" i="30" s="1"/>
  <c r="A18" i="16"/>
  <c r="A43" i="30" s="1"/>
  <c r="A19" i="16"/>
  <c r="A44" i="30" s="1"/>
  <c r="A20" i="16"/>
  <c r="A45" i="30" s="1"/>
  <c r="A21" i="16"/>
  <c r="A46" i="30" s="1"/>
  <c r="A22" i="16"/>
  <c r="A47" i="30" s="1"/>
  <c r="A23" i="16"/>
  <c r="A48" i="30" s="1"/>
  <c r="A24" i="16"/>
  <c r="A49" i="30" s="1"/>
  <c r="A25" i="16"/>
  <c r="A50" i="30" s="1"/>
  <c r="A26" i="16"/>
  <c r="A51" i="30" s="1"/>
  <c r="A2" i="16"/>
  <c r="A27" i="30" s="1"/>
  <c r="C81" i="30" l="1"/>
  <c r="F81" i="30"/>
  <c r="B81" i="30"/>
  <c r="E81" i="30"/>
  <c r="D81" i="30"/>
  <c r="D80" i="30"/>
  <c r="C80" i="30"/>
  <c r="F80" i="30"/>
  <c r="B80" i="30"/>
  <c r="E80" i="30"/>
  <c r="D76" i="30"/>
  <c r="C76" i="30"/>
  <c r="F76" i="30"/>
  <c r="B76" i="30"/>
  <c r="E76" i="30"/>
  <c r="D72" i="30"/>
  <c r="C72" i="30"/>
  <c r="F72" i="30"/>
  <c r="B72" i="30"/>
  <c r="E72" i="30"/>
  <c r="D68" i="30"/>
  <c r="C68" i="30"/>
  <c r="F68" i="30"/>
  <c r="B68" i="30"/>
  <c r="E68" i="30"/>
  <c r="D64" i="30"/>
  <c r="C64" i="30"/>
  <c r="F64" i="30"/>
  <c r="B64" i="30"/>
  <c r="E64" i="30"/>
  <c r="E75" i="30"/>
  <c r="D75" i="30"/>
  <c r="C75" i="30"/>
  <c r="F75" i="30"/>
  <c r="B75" i="30"/>
  <c r="E71" i="30"/>
  <c r="D71" i="30"/>
  <c r="C71" i="30"/>
  <c r="F71" i="30"/>
  <c r="B71" i="30"/>
  <c r="E67" i="30"/>
  <c r="D67" i="30"/>
  <c r="C67" i="30"/>
  <c r="F67" i="30"/>
  <c r="B67" i="30"/>
  <c r="E63" i="30"/>
  <c r="D63" i="30"/>
  <c r="C63" i="30"/>
  <c r="F63" i="30"/>
  <c r="B63" i="30"/>
  <c r="E79" i="30"/>
  <c r="D79" i="30"/>
  <c r="C79" i="30"/>
  <c r="F79" i="30"/>
  <c r="B79" i="30"/>
  <c r="F78" i="30"/>
  <c r="B78" i="30"/>
  <c r="E78" i="30"/>
  <c r="D78" i="30"/>
  <c r="C78" i="30"/>
  <c r="F74" i="30"/>
  <c r="B74" i="30"/>
  <c r="E74" i="30"/>
  <c r="D74" i="30"/>
  <c r="C74" i="30"/>
  <c r="F70" i="30"/>
  <c r="B70" i="30"/>
  <c r="E70" i="30"/>
  <c r="D70" i="30"/>
  <c r="C70" i="30"/>
  <c r="F66" i="30"/>
  <c r="B66" i="30"/>
  <c r="E66" i="30"/>
  <c r="D66" i="30"/>
  <c r="C66" i="30"/>
  <c r="F62" i="30"/>
  <c r="B62" i="30"/>
  <c r="E62" i="30"/>
  <c r="D62" i="30"/>
  <c r="C62" i="30"/>
  <c r="C77" i="30"/>
  <c r="F77" i="30"/>
  <c r="B77" i="30"/>
  <c r="E77" i="30"/>
  <c r="D77" i="30"/>
  <c r="C73" i="30"/>
  <c r="F73" i="30"/>
  <c r="B73" i="30"/>
  <c r="E73" i="30"/>
  <c r="D73" i="30"/>
  <c r="C69" i="30"/>
  <c r="F69" i="30"/>
  <c r="B69" i="30"/>
  <c r="E69" i="30"/>
  <c r="D69" i="30"/>
  <c r="C65" i="30"/>
  <c r="F65" i="30"/>
  <c r="B65" i="30"/>
  <c r="E65" i="30"/>
  <c r="D65" i="30"/>
  <c r="C61" i="30"/>
  <c r="F61" i="30"/>
  <c r="B61" i="30"/>
  <c r="E61" i="30"/>
  <c r="D61" i="30"/>
  <c r="D51" i="30"/>
  <c r="C51" i="30"/>
  <c r="F51" i="30"/>
  <c r="B51" i="30"/>
  <c r="E51" i="30"/>
  <c r="E50" i="30"/>
  <c r="D50" i="30"/>
  <c r="C50" i="30"/>
  <c r="F50" i="30"/>
  <c r="B50" i="30"/>
  <c r="E46" i="30"/>
  <c r="D46" i="30"/>
  <c r="C46" i="30"/>
  <c r="F46" i="30"/>
  <c r="B46" i="30"/>
  <c r="E42" i="30"/>
  <c r="D42" i="30"/>
  <c r="C42" i="30"/>
  <c r="F42" i="30"/>
  <c r="B42" i="30"/>
  <c r="E38" i="30"/>
  <c r="D38" i="30"/>
  <c r="C38" i="30"/>
  <c r="F38" i="30"/>
  <c r="B38" i="30"/>
  <c r="E34" i="30"/>
  <c r="D34" i="30"/>
  <c r="C34" i="30"/>
  <c r="F34" i="30"/>
  <c r="B34" i="30"/>
  <c r="E30" i="30"/>
  <c r="D30" i="30"/>
  <c r="C30" i="30"/>
  <c r="F30" i="30"/>
  <c r="B30" i="30"/>
  <c r="C48" i="30"/>
  <c r="F48" i="30"/>
  <c r="B48" i="30"/>
  <c r="E48" i="30"/>
  <c r="D48" i="30"/>
  <c r="F49" i="30"/>
  <c r="B49" i="30"/>
  <c r="E49" i="30"/>
  <c r="D49" i="30"/>
  <c r="C49" i="30"/>
  <c r="F45" i="30"/>
  <c r="B45" i="30"/>
  <c r="E45" i="30"/>
  <c r="D45" i="30"/>
  <c r="C45" i="30"/>
  <c r="F41" i="30"/>
  <c r="B41" i="30"/>
  <c r="E41" i="30"/>
  <c r="D41" i="30"/>
  <c r="C41" i="30"/>
  <c r="F37" i="30"/>
  <c r="B37" i="30"/>
  <c r="E37" i="30"/>
  <c r="D37" i="30"/>
  <c r="C37" i="30"/>
  <c r="F33" i="30"/>
  <c r="B33" i="30"/>
  <c r="E33" i="30"/>
  <c r="D33" i="30"/>
  <c r="C33" i="30"/>
  <c r="C44" i="30"/>
  <c r="F44" i="30"/>
  <c r="B44" i="30"/>
  <c r="E44" i="30"/>
  <c r="D44" i="30"/>
  <c r="C40" i="30"/>
  <c r="F40" i="30"/>
  <c r="B40" i="30"/>
  <c r="E40" i="30"/>
  <c r="D40" i="30"/>
  <c r="C36" i="30"/>
  <c r="F36" i="30"/>
  <c r="B36" i="30"/>
  <c r="E36" i="30"/>
  <c r="D36" i="30"/>
  <c r="C32" i="30"/>
  <c r="F32" i="30"/>
  <c r="B32" i="30"/>
  <c r="E32" i="30"/>
  <c r="D32" i="30"/>
  <c r="D47" i="30"/>
  <c r="C47" i="30"/>
  <c r="F47" i="30"/>
  <c r="B47" i="30"/>
  <c r="E47" i="30"/>
  <c r="D43" i="30"/>
  <c r="C43" i="30"/>
  <c r="F43" i="30"/>
  <c r="B43" i="30"/>
  <c r="E43" i="30"/>
  <c r="D39" i="30"/>
  <c r="C39" i="30"/>
  <c r="F39" i="30"/>
  <c r="B39" i="30"/>
  <c r="E39" i="30"/>
  <c r="D35" i="30"/>
  <c r="C35" i="30"/>
  <c r="F35" i="30"/>
  <c r="B35" i="30"/>
  <c r="E35" i="30"/>
  <c r="D31" i="30"/>
  <c r="C31" i="30"/>
  <c r="F31" i="30"/>
  <c r="B31" i="30"/>
  <c r="E31" i="30"/>
  <c r="D60" i="30"/>
  <c r="E60" i="30"/>
  <c r="C60" i="30"/>
  <c r="F60" i="30"/>
  <c r="B60" i="30"/>
  <c r="C59" i="30"/>
  <c r="D59" i="30"/>
  <c r="F59" i="30"/>
  <c r="B59" i="30"/>
  <c r="E59" i="30"/>
  <c r="D58" i="30"/>
  <c r="C58" i="30"/>
  <c r="E58" i="30"/>
  <c r="F58" i="30"/>
  <c r="B58" i="30"/>
  <c r="E29" i="30"/>
  <c r="F29" i="30"/>
  <c r="D29" i="30"/>
  <c r="B29" i="30"/>
  <c r="C29" i="30"/>
  <c r="F28" i="30"/>
  <c r="B28" i="30"/>
  <c r="E28" i="30"/>
  <c r="D28" i="30"/>
  <c r="C28" i="30"/>
  <c r="C27" i="30"/>
  <c r="F27" i="30"/>
  <c r="B27" i="30"/>
  <c r="D27" i="30"/>
  <c r="E27" i="30"/>
  <c r="A3" i="17"/>
  <c r="A53" i="30" s="1"/>
  <c r="A4" i="17"/>
  <c r="A54" i="30" s="1"/>
  <c r="A5" i="17"/>
  <c r="A55" i="30" s="1"/>
  <c r="A6" i="17"/>
  <c r="A56" i="30" s="1"/>
  <c r="A2" i="17"/>
  <c r="A52" i="30" s="1"/>
  <c r="A4" i="15"/>
  <c r="A4" i="30" s="1"/>
  <c r="A6" i="15"/>
  <c r="A6" i="30" s="1"/>
  <c r="A7" i="15"/>
  <c r="A7" i="30" s="1"/>
  <c r="A8" i="15"/>
  <c r="A8" i="30" s="1"/>
  <c r="A9" i="15"/>
  <c r="A9" i="30" s="1"/>
  <c r="A10" i="15"/>
  <c r="A10" i="30" s="1"/>
  <c r="A11" i="15"/>
  <c r="A11" i="30" s="1"/>
  <c r="A12" i="15"/>
  <c r="A12" i="30" s="1"/>
  <c r="A13" i="15"/>
  <c r="A13" i="30" s="1"/>
  <c r="A14" i="15"/>
  <c r="A14" i="30" s="1"/>
  <c r="A15" i="15"/>
  <c r="A15" i="30" s="1"/>
  <c r="A16" i="15"/>
  <c r="A16" i="30" s="1"/>
  <c r="A17" i="15"/>
  <c r="A17" i="30" s="1"/>
  <c r="A18" i="15"/>
  <c r="A18" i="30" s="1"/>
  <c r="A19" i="15"/>
  <c r="A19" i="30" s="1"/>
  <c r="A20" i="15"/>
  <c r="A20" i="30" s="1"/>
  <c r="A21" i="15"/>
  <c r="A21" i="30" s="1"/>
  <c r="A22" i="15"/>
  <c r="A22" i="30" s="1"/>
  <c r="A23" i="15"/>
  <c r="A23" i="30" s="1"/>
  <c r="A24" i="15"/>
  <c r="A24" i="30" s="1"/>
  <c r="A25" i="15"/>
  <c r="A25" i="30" s="1"/>
  <c r="A26" i="15"/>
  <c r="A26" i="30" s="1"/>
  <c r="D56" i="30" l="1"/>
  <c r="C56" i="30"/>
  <c r="F56" i="30"/>
  <c r="B56" i="30"/>
  <c r="E56" i="30"/>
  <c r="F54" i="30"/>
  <c r="B54" i="30"/>
  <c r="E54" i="30"/>
  <c r="D54" i="30"/>
  <c r="C54" i="30"/>
  <c r="E55" i="30"/>
  <c r="D55" i="30"/>
  <c r="C55" i="30"/>
  <c r="F55" i="30"/>
  <c r="B55" i="30"/>
  <c r="C53" i="30"/>
  <c r="F53" i="30"/>
  <c r="B53" i="30"/>
  <c r="E53" i="30"/>
  <c r="D53" i="30"/>
  <c r="F22" i="30"/>
  <c r="B22" i="30"/>
  <c r="E22" i="30"/>
  <c r="D22" i="30"/>
  <c r="C22" i="30"/>
  <c r="F10" i="30"/>
  <c r="B10" i="30"/>
  <c r="E10" i="30"/>
  <c r="D10" i="30"/>
  <c r="C10" i="30"/>
  <c r="C25" i="30"/>
  <c r="F25" i="30"/>
  <c r="B25" i="30"/>
  <c r="E25" i="30"/>
  <c r="D25" i="30"/>
  <c r="C21" i="30"/>
  <c r="F21" i="30"/>
  <c r="B21" i="30"/>
  <c r="E21" i="30"/>
  <c r="D21" i="30"/>
  <c r="C17" i="30"/>
  <c r="F17" i="30"/>
  <c r="B17" i="30"/>
  <c r="E17" i="30"/>
  <c r="D17" i="30"/>
  <c r="C13" i="30"/>
  <c r="F13" i="30"/>
  <c r="B13" i="30"/>
  <c r="E13" i="30"/>
  <c r="D13" i="30"/>
  <c r="C9" i="30"/>
  <c r="F9" i="30"/>
  <c r="B9" i="30"/>
  <c r="E9" i="30"/>
  <c r="D9" i="30"/>
  <c r="F18" i="30"/>
  <c r="B18" i="30"/>
  <c r="E18" i="30"/>
  <c r="D18" i="30"/>
  <c r="C18" i="30"/>
  <c r="F6" i="30"/>
  <c r="B6" i="30"/>
  <c r="E6" i="30"/>
  <c r="D6" i="30"/>
  <c r="C6" i="30"/>
  <c r="D24" i="30"/>
  <c r="C24" i="30"/>
  <c r="F24" i="30"/>
  <c r="B24" i="30"/>
  <c r="E24" i="30"/>
  <c r="D20" i="30"/>
  <c r="C20" i="30"/>
  <c r="F20" i="30"/>
  <c r="B20" i="30"/>
  <c r="E20" i="30"/>
  <c r="D16" i="30"/>
  <c r="C16" i="30"/>
  <c r="F16" i="30"/>
  <c r="B16" i="30"/>
  <c r="E16" i="30"/>
  <c r="D12" i="30"/>
  <c r="C12" i="30"/>
  <c r="F12" i="30"/>
  <c r="B12" i="30"/>
  <c r="E12" i="30"/>
  <c r="D8" i="30"/>
  <c r="C8" i="30"/>
  <c r="F8" i="30"/>
  <c r="B8" i="30"/>
  <c r="E8" i="30"/>
  <c r="F26" i="30"/>
  <c r="B26" i="30"/>
  <c r="E26" i="30"/>
  <c r="D26" i="30"/>
  <c r="C26" i="30"/>
  <c r="F14" i="30"/>
  <c r="B14" i="30"/>
  <c r="E14" i="30"/>
  <c r="D14" i="30"/>
  <c r="C14" i="30"/>
  <c r="E23" i="30"/>
  <c r="D23" i="30"/>
  <c r="C23" i="30"/>
  <c r="F23" i="30"/>
  <c r="B23" i="30"/>
  <c r="E19" i="30"/>
  <c r="D19" i="30"/>
  <c r="C19" i="30"/>
  <c r="F19" i="30"/>
  <c r="B19" i="30"/>
  <c r="E15" i="30"/>
  <c r="D15" i="30"/>
  <c r="C15" i="30"/>
  <c r="F15" i="30"/>
  <c r="B15" i="30"/>
  <c r="E11" i="30"/>
  <c r="D11" i="30"/>
  <c r="C11" i="30"/>
  <c r="F11" i="30"/>
  <c r="B11" i="30"/>
  <c r="E7" i="30"/>
  <c r="D7" i="30"/>
  <c r="C7" i="30"/>
  <c r="F7" i="30"/>
  <c r="B7" i="30"/>
  <c r="F4" i="30"/>
  <c r="B4" i="30"/>
  <c r="E4" i="30"/>
  <c r="D4" i="30"/>
  <c r="C4" i="30"/>
  <c r="F52" i="30"/>
  <c r="E52" i="30"/>
  <c r="D52" i="30"/>
  <c r="C52" i="30"/>
  <c r="B52" i="30"/>
  <c r="B5" i="15"/>
  <c r="C5" i="15"/>
  <c r="J5" i="15"/>
  <c r="H5" i="30"/>
  <c r="I5" i="15"/>
  <c r="A5" i="15"/>
  <c r="A5" i="30" s="1"/>
  <c r="B5" i="30" l="1"/>
  <c r="C5" i="30"/>
  <c r="F5" i="30"/>
  <c r="E5" i="30"/>
  <c r="D5" i="30"/>
  <c r="C2" i="15"/>
  <c r="H2" i="30"/>
  <c r="J2" i="15"/>
  <c r="I2" i="15"/>
  <c r="B2" i="15"/>
  <c r="J3" i="15"/>
  <c r="H3" i="30"/>
  <c r="I3" i="15"/>
  <c r="B3" i="15"/>
  <c r="C3" i="15"/>
  <c r="D9" i="15"/>
  <c r="G9" i="30" s="1"/>
  <c r="D17" i="15"/>
  <c r="G17" i="30" s="1"/>
  <c r="D25" i="15"/>
  <c r="G25" i="30" s="1"/>
  <c r="D14" i="15"/>
  <c r="G14" i="30" s="1"/>
  <c r="D26" i="15"/>
  <c r="G26" i="30" s="1"/>
  <c r="D15" i="15"/>
  <c r="G15" i="30" s="1"/>
  <c r="D8" i="15"/>
  <c r="G8" i="30" s="1"/>
  <c r="D24" i="15"/>
  <c r="G24" i="30" s="1"/>
  <c r="D22" i="15"/>
  <c r="G22" i="30" s="1"/>
  <c r="D19" i="15"/>
  <c r="G19" i="30" s="1"/>
  <c r="D12" i="15"/>
  <c r="G12" i="30" s="1"/>
  <c r="A2" i="15"/>
  <c r="A2" i="30" s="1"/>
  <c r="D2" i="30" s="1"/>
  <c r="A3" i="15"/>
  <c r="A3" i="30" s="1"/>
  <c r="D5" i="15"/>
  <c r="G5" i="30" s="1"/>
  <c r="D4" i="15"/>
  <c r="G4" i="30" s="1"/>
  <c r="D13" i="15"/>
  <c r="G13" i="30" s="1"/>
  <c r="D21" i="15"/>
  <c r="G21" i="30" s="1"/>
  <c r="D6" i="15"/>
  <c r="G6" i="30" s="1"/>
  <c r="D18" i="15"/>
  <c r="G18" i="30" s="1"/>
  <c r="D7" i="15"/>
  <c r="G7" i="30" s="1"/>
  <c r="D23" i="15"/>
  <c r="G23" i="30" s="1"/>
  <c r="D16" i="15"/>
  <c r="G16" i="30" s="1"/>
  <c r="D10" i="15"/>
  <c r="G10" i="30" s="1"/>
  <c r="D11" i="15"/>
  <c r="G11" i="30" s="1"/>
  <c r="D3" i="15"/>
  <c r="G3" i="30" s="1"/>
  <c r="D20" i="15"/>
  <c r="G20" i="30" s="1"/>
  <c r="D2" i="15"/>
  <c r="G2" i="30" s="1"/>
  <c r="F3" i="30" l="1"/>
  <c r="E3" i="30"/>
  <c r="B3" i="30"/>
  <c r="C3" i="30"/>
  <c r="D3" i="30"/>
  <c r="C2" i="30"/>
  <c r="B2" i="30"/>
  <c r="F2" i="30"/>
  <c r="E2" i="30"/>
</calcChain>
</file>

<file path=xl/sharedStrings.xml><?xml version="1.0" encoding="utf-8"?>
<sst xmlns="http://schemas.openxmlformats.org/spreadsheetml/2006/main" count="2232" uniqueCount="1574">
  <si>
    <t>Y</t>
  </si>
  <si>
    <t>Legal Entity Identifier</t>
  </si>
  <si>
    <t>Date</t>
  </si>
  <si>
    <t>VehicleSPEType</t>
  </si>
  <si>
    <t>VehicleCurrency</t>
  </si>
  <si>
    <t>VehicleOriginatorSingleMultipleFlag</t>
  </si>
  <si>
    <t>2999Q4</t>
  </si>
  <si>
    <t>Country</t>
  </si>
  <si>
    <t>Sector</t>
  </si>
  <si>
    <t>GuarantorDetails</t>
  </si>
  <si>
    <t>GuarantorIsSponsorFlag</t>
  </si>
  <si>
    <t>VehicleActivity</t>
  </si>
  <si>
    <t>N</t>
  </si>
  <si>
    <t>AED</t>
  </si>
  <si>
    <t>AUD</t>
  </si>
  <si>
    <t>BGN</t>
  </si>
  <si>
    <t>BRL</t>
  </si>
  <si>
    <t>CAD</t>
  </si>
  <si>
    <t>CHF</t>
  </si>
  <si>
    <t>CNY</t>
  </si>
  <si>
    <t>CZK</t>
  </si>
  <si>
    <t>DKK</t>
  </si>
  <si>
    <t>EGP</t>
  </si>
  <si>
    <t>EUR</t>
  </si>
  <si>
    <t>GBP</t>
  </si>
  <si>
    <t>HKD</t>
  </si>
  <si>
    <t>HRK</t>
  </si>
  <si>
    <t>HUF</t>
  </si>
  <si>
    <t>IDR</t>
  </si>
  <si>
    <t>ISK</t>
  </si>
  <si>
    <t>JPY</t>
  </si>
  <si>
    <t>KRW</t>
  </si>
  <si>
    <t>LTL</t>
  </si>
  <si>
    <t>LVL</t>
  </si>
  <si>
    <t>MXN</t>
  </si>
  <si>
    <t>MYR</t>
  </si>
  <si>
    <t>NOK</t>
  </si>
  <si>
    <t>NZD</t>
  </si>
  <si>
    <t>PHP</t>
  </si>
  <si>
    <t>PLN</t>
  </si>
  <si>
    <t>RON</t>
  </si>
  <si>
    <t>RUB</t>
  </si>
  <si>
    <t>SEK</t>
  </si>
  <si>
    <t>SGD</t>
  </si>
  <si>
    <t>THB</t>
  </si>
  <si>
    <t>TRY</t>
  </si>
  <si>
    <t>USD</t>
  </si>
  <si>
    <t>ZAR</t>
  </si>
  <si>
    <t>Current Date</t>
  </si>
  <si>
    <t>End of Quarter Date</t>
  </si>
  <si>
    <t>Quarter</t>
  </si>
  <si>
    <t>List1_Logical</t>
  </si>
  <si>
    <t>List2_Logical</t>
  </si>
  <si>
    <t>FVC</t>
  </si>
  <si>
    <t>SPV</t>
  </si>
  <si>
    <t>Traditional</t>
  </si>
  <si>
    <t>Synthetic</t>
  </si>
  <si>
    <t>Insurance</t>
  </si>
  <si>
    <t>Other</t>
  </si>
  <si>
    <t>IFRS</t>
  </si>
  <si>
    <t xml:space="preserve">IFRS 10 Consolidated Financial Statements </t>
  </si>
  <si>
    <t>FRS 100</t>
  </si>
  <si>
    <t>FRS 101</t>
  </si>
  <si>
    <t>FRS 102</t>
  </si>
  <si>
    <t>FRS 27</t>
  </si>
  <si>
    <t>GAAP</t>
  </si>
  <si>
    <t>IE GAAP</t>
  </si>
  <si>
    <t>NL GAAP</t>
  </si>
  <si>
    <t>US GAAP</t>
  </si>
  <si>
    <t>To Be Confirmed</t>
  </si>
  <si>
    <t xml:space="preserve">IAS 27 Separate Financial Statements </t>
  </si>
  <si>
    <t>IFRS  9 Financial Instruments</t>
  </si>
  <si>
    <t>Client Managed Account</t>
  </si>
  <si>
    <t>External Financing</t>
  </si>
  <si>
    <t>Holding Company</t>
  </si>
  <si>
    <t>Insurance Linked Investments</t>
  </si>
  <si>
    <t>Intra Group Financing</t>
  </si>
  <si>
    <t>Investment Fund Linked</t>
  </si>
  <si>
    <t>Loan Origination</t>
  </si>
  <si>
    <t>NAMA - National Asset Management Agency</t>
  </si>
  <si>
    <t>Receivables Financing</t>
  </si>
  <si>
    <t>Repackaging</t>
  </si>
  <si>
    <t>Resolution Vehicle</t>
  </si>
  <si>
    <t>RMBS - Residential Mortgage Backed Securities</t>
  </si>
  <si>
    <t>Bank Linked Investments</t>
  </si>
  <si>
    <t>Euro - EUR</t>
  </si>
  <si>
    <t>United Kingdom Pound - GBP</t>
  </si>
  <si>
    <t>United States Dollar - USD</t>
  </si>
  <si>
    <t>Switzerland Franc - CHF</t>
  </si>
  <si>
    <t>Australia Dollar - AUD</t>
  </si>
  <si>
    <t>AFN</t>
  </si>
  <si>
    <t>Afghanistan Afghani - AFN</t>
  </si>
  <si>
    <t>ALL</t>
  </si>
  <si>
    <t>Albania Lek - ALL</t>
  </si>
  <si>
    <t>DZD</t>
  </si>
  <si>
    <t>Algeria Dinar - DZD</t>
  </si>
  <si>
    <t>AOA</t>
  </si>
  <si>
    <t>Angola Kwanza - AOA</t>
  </si>
  <si>
    <t>ARS</t>
  </si>
  <si>
    <t>Argentina Peso - ARS</t>
  </si>
  <si>
    <t>AMD</t>
  </si>
  <si>
    <t>Armenia Dram - AMD</t>
  </si>
  <si>
    <t>AWG</t>
  </si>
  <si>
    <t>Aruba Guilder - AWG</t>
  </si>
  <si>
    <t>AZN</t>
  </si>
  <si>
    <t>Azerbaijan New Manat - AZN</t>
  </si>
  <si>
    <t>BSD</t>
  </si>
  <si>
    <t>Bahamas Dollar - BSD</t>
  </si>
  <si>
    <t>BHD</t>
  </si>
  <si>
    <t>Bahrain Dinar - BHD</t>
  </si>
  <si>
    <t>BDT</t>
  </si>
  <si>
    <t>Bangladesh Taka - BDT</t>
  </si>
  <si>
    <t>BBD</t>
  </si>
  <si>
    <t>Barbados Dollar - BBD</t>
  </si>
  <si>
    <t>BYR</t>
  </si>
  <si>
    <t>Belarus Ruble - BYR</t>
  </si>
  <si>
    <t>BZD</t>
  </si>
  <si>
    <t>Belize Dollar - BZD</t>
  </si>
  <si>
    <t>BMD</t>
  </si>
  <si>
    <t>Bermuda Dollar - BMD</t>
  </si>
  <si>
    <t>BTN</t>
  </si>
  <si>
    <t>Bhutan Ngultrum - BTN</t>
  </si>
  <si>
    <t>BOB</t>
  </si>
  <si>
    <t>Bolivia Boliviano - BOB</t>
  </si>
  <si>
    <t>BAM</t>
  </si>
  <si>
    <t>Bosnia and Herzegovina Convertible Marka - BAM</t>
  </si>
  <si>
    <t>BWP</t>
  </si>
  <si>
    <t>Botswana Pula - BWP</t>
  </si>
  <si>
    <t>Brazil Real - BRL</t>
  </si>
  <si>
    <t>BND</t>
  </si>
  <si>
    <t>Brunei Darussalam Dollar - BND</t>
  </si>
  <si>
    <t>Bulgaria Lev - BGN</t>
  </si>
  <si>
    <t>BIF</t>
  </si>
  <si>
    <t>Burundi Franc - BIF</t>
  </si>
  <si>
    <t>KHR</t>
  </si>
  <si>
    <t>Cambodia Riel - KHR</t>
  </si>
  <si>
    <t>Canada Dollar - CAD</t>
  </si>
  <si>
    <t>CVE</t>
  </si>
  <si>
    <t>Cape Verde Escudo - CVE</t>
  </si>
  <si>
    <t>KYD</t>
  </si>
  <si>
    <t>Cayman Islands Dollar - KYD</t>
  </si>
  <si>
    <t>CLP</t>
  </si>
  <si>
    <t>Chile Peso - CLP</t>
  </si>
  <si>
    <t>CNH</t>
  </si>
  <si>
    <t>China Yuan Renminbi Offshore - CNH</t>
  </si>
  <si>
    <t>China Yuan Renminbi - CNY</t>
  </si>
  <si>
    <t>COP</t>
  </si>
  <si>
    <t>Colombia Peso - COP</t>
  </si>
  <si>
    <t>XOF</t>
  </si>
  <si>
    <t>Communauté Financière Africaine (BCEAO) Franc - XOF</t>
  </si>
  <si>
    <t>XAF</t>
  </si>
  <si>
    <t>Communauté Financière Africaine (BEAC) CFA Franc BEAC - XAF</t>
  </si>
  <si>
    <t>KMF</t>
  </si>
  <si>
    <t>Comoros Franc - KMF</t>
  </si>
  <si>
    <t>XPF</t>
  </si>
  <si>
    <t>Comptoirs Français du Pacifique (CFP) Franc - XPF</t>
  </si>
  <si>
    <t>CDF</t>
  </si>
  <si>
    <t>Congo/Kinshasa Franc - CDF</t>
  </si>
  <si>
    <t>CRC</t>
  </si>
  <si>
    <t>Costa Rica Colon - CRC</t>
  </si>
  <si>
    <t>Croatia Kuna - HRK</t>
  </si>
  <si>
    <t>CUC</t>
  </si>
  <si>
    <t>Cuba Convertible Peso - CUC</t>
  </si>
  <si>
    <t>CUP</t>
  </si>
  <si>
    <t>Cuba Peso - CUP</t>
  </si>
  <si>
    <t>Czech Republic Koruna - CZK</t>
  </si>
  <si>
    <t>Denmark Krone - DKK</t>
  </si>
  <si>
    <t>DJF</t>
  </si>
  <si>
    <t>Djibouti Franc - DJF</t>
  </si>
  <si>
    <t>DOP</t>
  </si>
  <si>
    <t>Dominican Republic Peso - DOP</t>
  </si>
  <si>
    <t>XCD</t>
  </si>
  <si>
    <t>East Caribbean Dollar - XCD</t>
  </si>
  <si>
    <t>Egypt Pound - EGP</t>
  </si>
  <si>
    <t>SVC</t>
  </si>
  <si>
    <t>El Salvador Colon - SVC</t>
  </si>
  <si>
    <t>ERN</t>
  </si>
  <si>
    <t>Eritrea Nakfa - ERN</t>
  </si>
  <si>
    <t>ETB</t>
  </si>
  <si>
    <t>Ethiopia Birr - ETB</t>
  </si>
  <si>
    <t>FKP</t>
  </si>
  <si>
    <t>Falkland Islands (Malvinas) Pound - FKP</t>
  </si>
  <si>
    <t>FJD</t>
  </si>
  <si>
    <t>Fiji Dollar - FJD</t>
  </si>
  <si>
    <t>GMD</t>
  </si>
  <si>
    <t>Gambia Dalasi - GMD</t>
  </si>
  <si>
    <t>GEL</t>
  </si>
  <si>
    <t>Georgia Lari - GEL</t>
  </si>
  <si>
    <t>GHS</t>
  </si>
  <si>
    <t>Ghana Cedi - GHS</t>
  </si>
  <si>
    <t>GIP</t>
  </si>
  <si>
    <t>Gibraltar Pound - GIP</t>
  </si>
  <si>
    <t>GTQ</t>
  </si>
  <si>
    <t>Guatemala Quetzal - GTQ</t>
  </si>
  <si>
    <t>GGP</t>
  </si>
  <si>
    <t>Guernsey Pound - GGP</t>
  </si>
  <si>
    <t>GNF</t>
  </si>
  <si>
    <t>Guinea Franc - GNF</t>
  </si>
  <si>
    <t>GYD</t>
  </si>
  <si>
    <t>Guyana Dollar - GYD</t>
  </si>
  <si>
    <t>HTG</t>
  </si>
  <si>
    <t>Haiti Gourde - HTG</t>
  </si>
  <si>
    <t>HNL</t>
  </si>
  <si>
    <t>Honduras Lempira - HNL</t>
  </si>
  <si>
    <t>Hong Kong Dollar - HKD</t>
  </si>
  <si>
    <t>Hungary Forint - HUF</t>
  </si>
  <si>
    <t>Iceland Krona - ISK</t>
  </si>
  <si>
    <t>INR</t>
  </si>
  <si>
    <t>India Rupee - INR</t>
  </si>
  <si>
    <t>Indonesia Rupiah - IDR</t>
  </si>
  <si>
    <t>XDR</t>
  </si>
  <si>
    <t>International Monetary Fund (IMF) Special Drawing Rights - XDR</t>
  </si>
  <si>
    <t>IRR</t>
  </si>
  <si>
    <t>Iran Rial - IRR</t>
  </si>
  <si>
    <t>IQD</t>
  </si>
  <si>
    <t>Iraq Dinar - IQD</t>
  </si>
  <si>
    <t>IMP</t>
  </si>
  <si>
    <t>Isle of Man Pound - IMP</t>
  </si>
  <si>
    <t>ILS</t>
  </si>
  <si>
    <t>Israel Shekel - ILS</t>
  </si>
  <si>
    <t>JMD</t>
  </si>
  <si>
    <t>Jamaica Dollar - JMD</t>
  </si>
  <si>
    <t>Japan Yen - JPY</t>
  </si>
  <si>
    <t>JEP</t>
  </si>
  <si>
    <t>Jersey Pound - JEP</t>
  </si>
  <si>
    <t>JOD</t>
  </si>
  <si>
    <t>Jordan Dinar - JOD</t>
  </si>
  <si>
    <t>KZT</t>
  </si>
  <si>
    <t>Kazakhstan Tenge - KZT</t>
  </si>
  <si>
    <t>KES</t>
  </si>
  <si>
    <t>Kenya Shilling - KES</t>
  </si>
  <si>
    <t>KPW</t>
  </si>
  <si>
    <t>Korea (North) Won - KPW</t>
  </si>
  <si>
    <t>Korea (South) Won - KRW</t>
  </si>
  <si>
    <t>KWD</t>
  </si>
  <si>
    <t>Kuwait Dinar - KWD</t>
  </si>
  <si>
    <t>KGS</t>
  </si>
  <si>
    <t>Kyrgyzstan Som - KGS</t>
  </si>
  <si>
    <t>LAK</t>
  </si>
  <si>
    <t>Laos Kip - LAK</t>
  </si>
  <si>
    <t>Latvia Lat - LVL</t>
  </si>
  <si>
    <t>LBP</t>
  </si>
  <si>
    <t>Lebanon Pound - LBP</t>
  </si>
  <si>
    <t>LSL</t>
  </si>
  <si>
    <t>Lesotho Loti - LSL</t>
  </si>
  <si>
    <t>LRD</t>
  </si>
  <si>
    <t>Liberia Dollar - LRD</t>
  </si>
  <si>
    <t>LYD</t>
  </si>
  <si>
    <t>Libya Dinar - LYD</t>
  </si>
  <si>
    <t>Lithuania Litas - LTL</t>
  </si>
  <si>
    <t>MOP</t>
  </si>
  <si>
    <t>Macau Pataca - MOP</t>
  </si>
  <si>
    <t>MKD</t>
  </si>
  <si>
    <t>Macedonia Denar - MKD</t>
  </si>
  <si>
    <t>MGA</t>
  </si>
  <si>
    <t>Madagascar Ariary - MGA</t>
  </si>
  <si>
    <t>MWK</t>
  </si>
  <si>
    <t>Malawi Kwacha - MWK</t>
  </si>
  <si>
    <t>Malaysia Ringgit - MYR</t>
  </si>
  <si>
    <t>MVR</t>
  </si>
  <si>
    <t>Maldives (Maldive Islands) Rufiyaa - MVR</t>
  </si>
  <si>
    <t>MRO</t>
  </si>
  <si>
    <t>Mauritania Ouguiya - MRO</t>
  </si>
  <si>
    <t>MUR</t>
  </si>
  <si>
    <t>Mauritius Rupee - MUR</t>
  </si>
  <si>
    <t>Mexico Peso - MXN</t>
  </si>
  <si>
    <t>MDL</t>
  </si>
  <si>
    <t>Moldova Leu - MDL</t>
  </si>
  <si>
    <t>MNT</t>
  </si>
  <si>
    <t>Mongolia Tughrik - MNT</t>
  </si>
  <si>
    <t>MAD</t>
  </si>
  <si>
    <t>Morocco Dirham - MAD</t>
  </si>
  <si>
    <t>MZN</t>
  </si>
  <si>
    <t>Mozambique Metical - MZN</t>
  </si>
  <si>
    <t>MMK</t>
  </si>
  <si>
    <t>Myanmar (Burma) Kyat - MMK</t>
  </si>
  <si>
    <t>NAD</t>
  </si>
  <si>
    <t>Namibia Dollar - NAD</t>
  </si>
  <si>
    <t>NPR</t>
  </si>
  <si>
    <t>Nepal Rupee - NPR</t>
  </si>
  <si>
    <t>ANG</t>
  </si>
  <si>
    <t>Netherlands Antilles Guilder - ANG</t>
  </si>
  <si>
    <t>New Zealand Dollar - NZD</t>
  </si>
  <si>
    <t>NIO</t>
  </si>
  <si>
    <t>Nicaragua Cordoba - NIO</t>
  </si>
  <si>
    <t>NGN</t>
  </si>
  <si>
    <t>Nigeria Naira - NGN</t>
  </si>
  <si>
    <t>Norway Krone - NOK</t>
  </si>
  <si>
    <t>OMR</t>
  </si>
  <si>
    <t>Oman Rial - OMR</t>
  </si>
  <si>
    <t>PKR</t>
  </si>
  <si>
    <t>Pakistan Rupee - PKR</t>
  </si>
  <si>
    <t>PAB</t>
  </si>
  <si>
    <t>Panama Balboa - PAB</t>
  </si>
  <si>
    <t>PGK</t>
  </si>
  <si>
    <t>Papua New Guinea Kina - PGK</t>
  </si>
  <si>
    <t>PYG</t>
  </si>
  <si>
    <t>Paraguay Guarani - PYG</t>
  </si>
  <si>
    <t>PEN</t>
  </si>
  <si>
    <t>Peru Nuevo Sol - PEN</t>
  </si>
  <si>
    <t>Philippines Peso - PHP</t>
  </si>
  <si>
    <t>Poland Zloty - PLN</t>
  </si>
  <si>
    <t>QAR</t>
  </si>
  <si>
    <t>Qatar Riyal - QAR</t>
  </si>
  <si>
    <t>Romania New Leu - RON</t>
  </si>
  <si>
    <t>Russia Ruble - RUB</t>
  </si>
  <si>
    <t>RWF</t>
  </si>
  <si>
    <t>Rwanda Franc - RWF</t>
  </si>
  <si>
    <t>SHP</t>
  </si>
  <si>
    <t>Saint Helena Pound - SHP</t>
  </si>
  <si>
    <t>WST</t>
  </si>
  <si>
    <t>Samoa Tala - WST</t>
  </si>
  <si>
    <t>STD</t>
  </si>
  <si>
    <t>São Tomé and Príncipe Dobra - STD</t>
  </si>
  <si>
    <t>SAR</t>
  </si>
  <si>
    <t>Saudi Arabia Riyal - SAR</t>
  </si>
  <si>
    <t>SPL</t>
  </si>
  <si>
    <t>Seborga Luigino - SPL</t>
  </si>
  <si>
    <t>RSD</t>
  </si>
  <si>
    <t>Serbia Dinar - RSD</t>
  </si>
  <si>
    <t>SCR</t>
  </si>
  <si>
    <t>Seychelles Rupee - SCR</t>
  </si>
  <si>
    <t>SLL</t>
  </si>
  <si>
    <t>Sierra Leone Leone - SLL</t>
  </si>
  <si>
    <t>Singapore Dollar - SGD</t>
  </si>
  <si>
    <t>SBD</t>
  </si>
  <si>
    <t>Solomon Islands Dollar - SBD</t>
  </si>
  <si>
    <t>SOS</t>
  </si>
  <si>
    <t>Somalia Shilling - SOS</t>
  </si>
  <si>
    <t>South Africa Rand - ZAR</t>
  </si>
  <si>
    <t>LKR</t>
  </si>
  <si>
    <t>Sri Lanka Rupee - LKR</t>
  </si>
  <si>
    <t>SDG</t>
  </si>
  <si>
    <t>Sudan Pound - SDG</t>
  </si>
  <si>
    <t>SRD</t>
  </si>
  <si>
    <t>Suriname Dollar - SRD</t>
  </si>
  <si>
    <t>SZL</t>
  </si>
  <si>
    <t>Swaziland Lilangeni - SZL</t>
  </si>
  <si>
    <t>Sweden Krona - SEK</t>
  </si>
  <si>
    <t>SYP</t>
  </si>
  <si>
    <t>Syria Pound - SYP</t>
  </si>
  <si>
    <t>TWD</t>
  </si>
  <si>
    <t>Taiwan New Dollar - TWD</t>
  </si>
  <si>
    <t>TJS</t>
  </si>
  <si>
    <t>Tajikistan Somoni - TJS</t>
  </si>
  <si>
    <t>TZS</t>
  </si>
  <si>
    <t>Tanzania Shilling - TZS</t>
  </si>
  <si>
    <t>Thailand Baht - THB</t>
  </si>
  <si>
    <t>TOP</t>
  </si>
  <si>
    <t>Tonga Pa'anga - TOP</t>
  </si>
  <si>
    <t>TTD</t>
  </si>
  <si>
    <t>Trinidad and Tobago Dollar - TTD</t>
  </si>
  <si>
    <t>TND</t>
  </si>
  <si>
    <t>Tunisia Dinar - TND</t>
  </si>
  <si>
    <t>Turkey Lira - TRY</t>
  </si>
  <si>
    <t>TMT</t>
  </si>
  <si>
    <t>Turkmenistan Manat - TMT</t>
  </si>
  <si>
    <t>TVD</t>
  </si>
  <si>
    <t>Tuvalu Dollar - TVD</t>
  </si>
  <si>
    <t>UGX</t>
  </si>
  <si>
    <t>Uganda Shilling - UGX</t>
  </si>
  <si>
    <t>UAH</t>
  </si>
  <si>
    <t>Ukraine Hryvna - UAH</t>
  </si>
  <si>
    <t>United Arab Emirates Dirham - AED</t>
  </si>
  <si>
    <t>UYU</t>
  </si>
  <si>
    <t>Uruguay Peso - UYU</t>
  </si>
  <si>
    <t>UZS</t>
  </si>
  <si>
    <t>Uzbekistan Som - UZS</t>
  </si>
  <si>
    <t>VUV</t>
  </si>
  <si>
    <t>Vanuatu Vatu - VUV</t>
  </si>
  <si>
    <t>VEF</t>
  </si>
  <si>
    <t>Venezuela Bolivar Fuerte - VEF</t>
  </si>
  <si>
    <t>VND</t>
  </si>
  <si>
    <t>Viet Nam Dong - VND</t>
  </si>
  <si>
    <t>YER</t>
  </si>
  <si>
    <t>Yemen Rial - YER</t>
  </si>
  <si>
    <t>ZMK</t>
  </si>
  <si>
    <t>Zambia Kwacha - ZMK</t>
  </si>
  <si>
    <t>ZWD</t>
  </si>
  <si>
    <t>Zimbabwe Dollar - ZWD</t>
  </si>
  <si>
    <t>VehicleCurrencyDescription</t>
  </si>
  <si>
    <t>XXX</t>
  </si>
  <si>
    <t>CC</t>
  </si>
  <si>
    <t>CX</t>
  </si>
  <si>
    <t>AD</t>
  </si>
  <si>
    <t>AD - Andorra</t>
  </si>
  <si>
    <t>AE</t>
  </si>
  <si>
    <t>AE - United Arab Emirates</t>
  </si>
  <si>
    <t>AF</t>
  </si>
  <si>
    <t>AF - Afghanistan</t>
  </si>
  <si>
    <t>AG</t>
  </si>
  <si>
    <t>AG - Antigua and Barbuda</t>
  </si>
  <si>
    <t>AI</t>
  </si>
  <si>
    <t>AI - Anguilla</t>
  </si>
  <si>
    <t>AL</t>
  </si>
  <si>
    <t>AL - Albania</t>
  </si>
  <si>
    <t>AM</t>
  </si>
  <si>
    <t>AM - Armenia</t>
  </si>
  <si>
    <t>AO</t>
  </si>
  <si>
    <t>AO - Angola</t>
  </si>
  <si>
    <t>AQ</t>
  </si>
  <si>
    <t xml:space="preserve">AQ - Antartica </t>
  </si>
  <si>
    <t>AR</t>
  </si>
  <si>
    <t>AR - Argentina</t>
  </si>
  <si>
    <t>AS</t>
  </si>
  <si>
    <t>AS - American Samoa</t>
  </si>
  <si>
    <t>AT</t>
  </si>
  <si>
    <t>AT - Austria</t>
  </si>
  <si>
    <t>AU</t>
  </si>
  <si>
    <t>AU - Australia</t>
  </si>
  <si>
    <t>AW</t>
  </si>
  <si>
    <t>AW - Aruba</t>
  </si>
  <si>
    <t>AX</t>
  </si>
  <si>
    <t>AX - Aland Islands</t>
  </si>
  <si>
    <t>AZ</t>
  </si>
  <si>
    <t>AZ - Azerbaijan</t>
  </si>
  <si>
    <t>BA</t>
  </si>
  <si>
    <t>BA - Bosnia and Herzegovina</t>
  </si>
  <si>
    <t>BB</t>
  </si>
  <si>
    <t>BB - Barbados</t>
  </si>
  <si>
    <t>BD</t>
  </si>
  <si>
    <t>BD - Bangladesh</t>
  </si>
  <si>
    <t>BE</t>
  </si>
  <si>
    <t>BE - Belgium</t>
  </si>
  <si>
    <t>BF</t>
  </si>
  <si>
    <t>BF - Burkina Faso</t>
  </si>
  <si>
    <t>BG</t>
  </si>
  <si>
    <t>BG - Bulgaria</t>
  </si>
  <si>
    <t>BH</t>
  </si>
  <si>
    <t>BH - Bahrain</t>
  </si>
  <si>
    <t>BI</t>
  </si>
  <si>
    <t>BI - Burundi</t>
  </si>
  <si>
    <t>BJ</t>
  </si>
  <si>
    <t>BJ - Benin</t>
  </si>
  <si>
    <t>BM</t>
  </si>
  <si>
    <t>BM - Bermuda</t>
  </si>
  <si>
    <t>BN</t>
  </si>
  <si>
    <t>BN - Brunei Darussalam</t>
  </si>
  <si>
    <t>BO</t>
  </si>
  <si>
    <t>BO - Bolivia</t>
  </si>
  <si>
    <t>BQ</t>
  </si>
  <si>
    <t>BQ - Bonaire, Saba and Sint Eustatius</t>
  </si>
  <si>
    <t>BR</t>
  </si>
  <si>
    <t>BR - Brazil</t>
  </si>
  <si>
    <t>BS</t>
  </si>
  <si>
    <t>BS - Bahamas</t>
  </si>
  <si>
    <t>BT</t>
  </si>
  <si>
    <t>BT - Bhutan</t>
  </si>
  <si>
    <t>BV</t>
  </si>
  <si>
    <t>BV - Bouvet Island</t>
  </si>
  <si>
    <t>BW</t>
  </si>
  <si>
    <t>BW - Botswana</t>
  </si>
  <si>
    <t>BY</t>
  </si>
  <si>
    <t>BY - Belarus</t>
  </si>
  <si>
    <t>BZ</t>
  </si>
  <si>
    <t>BZ - Belize</t>
  </si>
  <si>
    <t>CA</t>
  </si>
  <si>
    <t>CA - Canada</t>
  </si>
  <si>
    <t>CC - COCOS (Keeling) Islands</t>
  </si>
  <si>
    <t>CD</t>
  </si>
  <si>
    <t>CD - Democratic Republic of the Congo</t>
  </si>
  <si>
    <t>CF</t>
  </si>
  <si>
    <t>CF - Central African Republic</t>
  </si>
  <si>
    <t>CG</t>
  </si>
  <si>
    <t>CG - Congo</t>
  </si>
  <si>
    <t>CH</t>
  </si>
  <si>
    <t>CH - Switzerland</t>
  </si>
  <si>
    <t>CI</t>
  </si>
  <si>
    <t>CI - Cote d'Ivoire</t>
  </si>
  <si>
    <t>CK</t>
  </si>
  <si>
    <t>CK - Cook Islands</t>
  </si>
  <si>
    <t>CL</t>
  </si>
  <si>
    <t>CL - Chile</t>
  </si>
  <si>
    <t>CM</t>
  </si>
  <si>
    <t>CM - Cameroon</t>
  </si>
  <si>
    <t>CN</t>
  </si>
  <si>
    <t>CN - China</t>
  </si>
  <si>
    <t>CO</t>
  </si>
  <si>
    <t>CO - Colombia</t>
  </si>
  <si>
    <t>CR</t>
  </si>
  <si>
    <t>CR - Costa Rica</t>
  </si>
  <si>
    <t>CU</t>
  </si>
  <si>
    <t>CU - Cuba</t>
  </si>
  <si>
    <t>CV</t>
  </si>
  <si>
    <t>CV - Cape Verde</t>
  </si>
  <si>
    <t>CW</t>
  </si>
  <si>
    <t>CW - Curacao</t>
  </si>
  <si>
    <t>CX - Christmas Island</t>
  </si>
  <si>
    <t>CY</t>
  </si>
  <si>
    <t>CY - Cyprus</t>
  </si>
  <si>
    <t>CZ</t>
  </si>
  <si>
    <t>CZ - Czech Republic</t>
  </si>
  <si>
    <t>DE</t>
  </si>
  <si>
    <t>DE - Germany</t>
  </si>
  <si>
    <t>DJ</t>
  </si>
  <si>
    <t>DJ - Djibouti</t>
  </si>
  <si>
    <t>DK</t>
  </si>
  <si>
    <t>DK - Denmark</t>
  </si>
  <si>
    <t>DM</t>
  </si>
  <si>
    <t>DM - Dominica</t>
  </si>
  <si>
    <t>DO</t>
  </si>
  <si>
    <t>DO - Dominican Republic</t>
  </si>
  <si>
    <t>DZ</t>
  </si>
  <si>
    <t>DZ - Algeria</t>
  </si>
  <si>
    <t>EC</t>
  </si>
  <si>
    <t>EC - Ecuador</t>
  </si>
  <si>
    <t>EE</t>
  </si>
  <si>
    <t>EE - Estonia</t>
  </si>
  <si>
    <t>EG</t>
  </si>
  <si>
    <t>EG - Egypt</t>
  </si>
  <si>
    <t>EH</t>
  </si>
  <si>
    <t>EH - Western Sahara</t>
  </si>
  <si>
    <t>ER</t>
  </si>
  <si>
    <t>ER - Eritrea</t>
  </si>
  <si>
    <t>ES</t>
  </si>
  <si>
    <t>ES - Spain</t>
  </si>
  <si>
    <t>ET</t>
  </si>
  <si>
    <t>ET - Ethiopia</t>
  </si>
  <si>
    <t>FI</t>
  </si>
  <si>
    <t>FI - Finland</t>
  </si>
  <si>
    <t>FJ</t>
  </si>
  <si>
    <t>FJ - Fiji</t>
  </si>
  <si>
    <t>FK</t>
  </si>
  <si>
    <t>FK - Falkland Islands (Malvinas)</t>
  </si>
  <si>
    <t>FM</t>
  </si>
  <si>
    <t xml:space="preserve">FM - Micronesia, Federated States of </t>
  </si>
  <si>
    <t>FO</t>
  </si>
  <si>
    <t>FO - Faroe Islands</t>
  </si>
  <si>
    <t>FR</t>
  </si>
  <si>
    <t>FR - France</t>
  </si>
  <si>
    <t>GA</t>
  </si>
  <si>
    <t>GA - Gabon</t>
  </si>
  <si>
    <t>GB</t>
  </si>
  <si>
    <t>GB - United Kingdom (Excl GG, JE and IM)</t>
  </si>
  <si>
    <t>GD</t>
  </si>
  <si>
    <t>GD - Grenada</t>
  </si>
  <si>
    <t>GE</t>
  </si>
  <si>
    <t>GE - Georgia</t>
  </si>
  <si>
    <t>GF</t>
  </si>
  <si>
    <t>GF - French Guiana</t>
  </si>
  <si>
    <t>GG</t>
  </si>
  <si>
    <t xml:space="preserve">GG - Guernsey </t>
  </si>
  <si>
    <t>GH</t>
  </si>
  <si>
    <t>GH - Ghana</t>
  </si>
  <si>
    <t>GI</t>
  </si>
  <si>
    <t>GI - Gibraltar</t>
  </si>
  <si>
    <t>GL</t>
  </si>
  <si>
    <t>GL - Greenland</t>
  </si>
  <si>
    <t>GM</t>
  </si>
  <si>
    <t>GM - Gambia</t>
  </si>
  <si>
    <t>GN</t>
  </si>
  <si>
    <t>GN - Guinea</t>
  </si>
  <si>
    <t>GP</t>
  </si>
  <si>
    <t>GP - Guadeloupe</t>
  </si>
  <si>
    <t>GQ</t>
  </si>
  <si>
    <t>GQ - Equatorial Guinea</t>
  </si>
  <si>
    <t>GR</t>
  </si>
  <si>
    <t>GR - Greece</t>
  </si>
  <si>
    <t>GS</t>
  </si>
  <si>
    <t>GS - South Georgia &amp; South Sandwich Islands</t>
  </si>
  <si>
    <t>GT</t>
  </si>
  <si>
    <t>GT - Guatemala</t>
  </si>
  <si>
    <t>GU</t>
  </si>
  <si>
    <t>GU - Guam</t>
  </si>
  <si>
    <t>GW</t>
  </si>
  <si>
    <t>GW - Guinea-Bissau</t>
  </si>
  <si>
    <t>GY</t>
  </si>
  <si>
    <t>GY - Guyana</t>
  </si>
  <si>
    <t>HK</t>
  </si>
  <si>
    <t>HK - Hong Kong</t>
  </si>
  <si>
    <t>HM</t>
  </si>
  <si>
    <t>HM - Heard Island and McDonald Islands</t>
  </si>
  <si>
    <t>HN</t>
  </si>
  <si>
    <t>HN - Honduras</t>
  </si>
  <si>
    <t>HR</t>
  </si>
  <si>
    <t>HR - Croatia</t>
  </si>
  <si>
    <t>HT</t>
  </si>
  <si>
    <t>HT - Haiti</t>
  </si>
  <si>
    <t>HU</t>
  </si>
  <si>
    <t>HU - Hungary</t>
  </si>
  <si>
    <t>ID</t>
  </si>
  <si>
    <t>ID - Indonesia</t>
  </si>
  <si>
    <t>IE</t>
  </si>
  <si>
    <t>IE - Ireland</t>
  </si>
  <si>
    <t>IL</t>
  </si>
  <si>
    <t>IL - Israel</t>
  </si>
  <si>
    <t>IM</t>
  </si>
  <si>
    <t xml:space="preserve">IM - Isle of Man </t>
  </si>
  <si>
    <t>IN</t>
  </si>
  <si>
    <t>IN - India</t>
  </si>
  <si>
    <t>IO</t>
  </si>
  <si>
    <t>IO - British Indian Ocean Territory</t>
  </si>
  <si>
    <t>IQ</t>
  </si>
  <si>
    <t>IQ - Iraq</t>
  </si>
  <si>
    <t>IR</t>
  </si>
  <si>
    <t>IR - Iran</t>
  </si>
  <si>
    <t>IS</t>
  </si>
  <si>
    <t>IS - Iceland</t>
  </si>
  <si>
    <t>IT</t>
  </si>
  <si>
    <t>IT - Italy</t>
  </si>
  <si>
    <t>JE</t>
  </si>
  <si>
    <t xml:space="preserve">JE - Jersey </t>
  </si>
  <si>
    <t>JM</t>
  </si>
  <si>
    <t>JM - Jamaica</t>
  </si>
  <si>
    <t>JO</t>
  </si>
  <si>
    <t>JO - Jordan</t>
  </si>
  <si>
    <t>JP</t>
  </si>
  <si>
    <t>JP - Japan</t>
  </si>
  <si>
    <t>KE</t>
  </si>
  <si>
    <t>KE - Kenya</t>
  </si>
  <si>
    <t>KG</t>
  </si>
  <si>
    <t>KG - Kyrgyzstan</t>
  </si>
  <si>
    <t>KH</t>
  </si>
  <si>
    <t xml:space="preserve">KH - Cambodia </t>
  </si>
  <si>
    <t>KI</t>
  </si>
  <si>
    <t>KI - Kiribati</t>
  </si>
  <si>
    <t>KM</t>
  </si>
  <si>
    <t>KM - Comoros</t>
  </si>
  <si>
    <t>KN</t>
  </si>
  <si>
    <t>KN - Saint Kitts and Nevis</t>
  </si>
  <si>
    <t>KP</t>
  </si>
  <si>
    <t>KP - North Korea</t>
  </si>
  <si>
    <t>KR</t>
  </si>
  <si>
    <t>KR - South Korea</t>
  </si>
  <si>
    <t>KW</t>
  </si>
  <si>
    <t>KW - Kuwait</t>
  </si>
  <si>
    <t>KY</t>
  </si>
  <si>
    <t>KY - Cayman Islands</t>
  </si>
  <si>
    <t>KZ</t>
  </si>
  <si>
    <t>KZ - Kazakhstan</t>
  </si>
  <si>
    <t>LA</t>
  </si>
  <si>
    <t>LA - Lao</t>
  </si>
  <si>
    <t>LB</t>
  </si>
  <si>
    <t>LB - Lebanon</t>
  </si>
  <si>
    <t>LC</t>
  </si>
  <si>
    <t>LC - Saint Lucia</t>
  </si>
  <si>
    <t>LI</t>
  </si>
  <si>
    <t>LI - Liechtenstein</t>
  </si>
  <si>
    <t>LK</t>
  </si>
  <si>
    <t>LK - Sri Lanka</t>
  </si>
  <si>
    <t>LR</t>
  </si>
  <si>
    <t>LR - Liberia</t>
  </si>
  <si>
    <t>LS</t>
  </si>
  <si>
    <t>LS - Lesotho</t>
  </si>
  <si>
    <t>LT</t>
  </si>
  <si>
    <t>LT - Lithuania</t>
  </si>
  <si>
    <t>LU</t>
  </si>
  <si>
    <t>LU - Luxembourg</t>
  </si>
  <si>
    <t>LV</t>
  </si>
  <si>
    <t>LV - Latvia</t>
  </si>
  <si>
    <t>LY</t>
  </si>
  <si>
    <t>LY - Libyan Arab Jamahiriya</t>
  </si>
  <si>
    <t>MA</t>
  </si>
  <si>
    <t>MA - Morocco</t>
  </si>
  <si>
    <t>MC</t>
  </si>
  <si>
    <t>MC - Monaco</t>
  </si>
  <si>
    <t>MD</t>
  </si>
  <si>
    <t>MD - Moldova, Republic of</t>
  </si>
  <si>
    <t>ME</t>
  </si>
  <si>
    <t>ME - Montenegro</t>
  </si>
  <si>
    <t>MG</t>
  </si>
  <si>
    <t>MG - Madagascar</t>
  </si>
  <si>
    <t>MH</t>
  </si>
  <si>
    <t>MH - Marshall Islands</t>
  </si>
  <si>
    <t>MK</t>
  </si>
  <si>
    <t>MK - FYR Macedonia</t>
  </si>
  <si>
    <t>ML</t>
  </si>
  <si>
    <t>ML - Mali</t>
  </si>
  <si>
    <t>MM</t>
  </si>
  <si>
    <t>MM - Myanmar</t>
  </si>
  <si>
    <t>MN</t>
  </si>
  <si>
    <t>MN - Mongolia</t>
  </si>
  <si>
    <t>MO</t>
  </si>
  <si>
    <t>MP</t>
  </si>
  <si>
    <t>MP - Northern Mariana Islands</t>
  </si>
  <si>
    <t>MQ</t>
  </si>
  <si>
    <t>MQ - Martinique</t>
  </si>
  <si>
    <t>MR</t>
  </si>
  <si>
    <t>MR - Mauritania</t>
  </si>
  <si>
    <t>MS</t>
  </si>
  <si>
    <t>MS - Montserrat</t>
  </si>
  <si>
    <t>MT</t>
  </si>
  <si>
    <t>MT - Malta</t>
  </si>
  <si>
    <t>MU</t>
  </si>
  <si>
    <t>MU - Mauritius</t>
  </si>
  <si>
    <t>MV</t>
  </si>
  <si>
    <t>MV - Maldives</t>
  </si>
  <si>
    <t>MW</t>
  </si>
  <si>
    <t>MW - Malawi</t>
  </si>
  <si>
    <t>MX</t>
  </si>
  <si>
    <t>MX - Mexico</t>
  </si>
  <si>
    <t>MY</t>
  </si>
  <si>
    <t>MY - Malaysia</t>
  </si>
  <si>
    <t>MZ</t>
  </si>
  <si>
    <t>MZ - Mozambique</t>
  </si>
  <si>
    <t>NA</t>
  </si>
  <si>
    <t>NA - Namibia</t>
  </si>
  <si>
    <t>NC</t>
  </si>
  <si>
    <t>NC - New Caledonia</t>
  </si>
  <si>
    <t>NE</t>
  </si>
  <si>
    <t>NE - Niger</t>
  </si>
  <si>
    <t>NF</t>
  </si>
  <si>
    <t>NF - Norfolk Island</t>
  </si>
  <si>
    <t>NG</t>
  </si>
  <si>
    <t>NG - Nigeria</t>
  </si>
  <si>
    <t>NI</t>
  </si>
  <si>
    <t>NI - Nicaragua</t>
  </si>
  <si>
    <t>NL</t>
  </si>
  <si>
    <t>NL - Netherlands</t>
  </si>
  <si>
    <t>NO</t>
  </si>
  <si>
    <t>NO - Norway</t>
  </si>
  <si>
    <t>NP</t>
  </si>
  <si>
    <t>NP - Nepal</t>
  </si>
  <si>
    <t>NR</t>
  </si>
  <si>
    <t>NR - Nauru</t>
  </si>
  <si>
    <t>NU</t>
  </si>
  <si>
    <t>NU - Niue</t>
  </si>
  <si>
    <t>NZ</t>
  </si>
  <si>
    <t>NZ - New Zealand</t>
  </si>
  <si>
    <t>OM</t>
  </si>
  <si>
    <t>OM - Oman</t>
  </si>
  <si>
    <t>PA</t>
  </si>
  <si>
    <t>PA - Panama</t>
  </si>
  <si>
    <t>PE</t>
  </si>
  <si>
    <t>PE - Peru</t>
  </si>
  <si>
    <t>PF</t>
  </si>
  <si>
    <t>PF - French Polynesia</t>
  </si>
  <si>
    <t>PG</t>
  </si>
  <si>
    <t>PG - Papua New Guinea</t>
  </si>
  <si>
    <t>PH</t>
  </si>
  <si>
    <t>PH - Philippines</t>
  </si>
  <si>
    <t>PK</t>
  </si>
  <si>
    <t>PK - Pakistan</t>
  </si>
  <si>
    <t>PL</t>
  </si>
  <si>
    <t>PL - Poland</t>
  </si>
  <si>
    <t>PM</t>
  </si>
  <si>
    <t>PM - Saint Pierre and Miquelon</t>
  </si>
  <si>
    <t>PN</t>
  </si>
  <si>
    <t>PN - Pitcairn</t>
  </si>
  <si>
    <t>PR</t>
  </si>
  <si>
    <t>PR - Puerto Rico</t>
  </si>
  <si>
    <t>PS</t>
  </si>
  <si>
    <t>PS - Palestinian Territory</t>
  </si>
  <si>
    <t>PT</t>
  </si>
  <si>
    <t>PT - Portugal</t>
  </si>
  <si>
    <t>PW</t>
  </si>
  <si>
    <t>PW - Palau</t>
  </si>
  <si>
    <t>PY</t>
  </si>
  <si>
    <t>PY - Paraguay</t>
  </si>
  <si>
    <t>QA</t>
  </si>
  <si>
    <t>QA - Qatar</t>
  </si>
  <si>
    <t>RE</t>
  </si>
  <si>
    <t>RE - Reunion</t>
  </si>
  <si>
    <t>RO</t>
  </si>
  <si>
    <t>RO - Romania</t>
  </si>
  <si>
    <t>RS</t>
  </si>
  <si>
    <t xml:space="preserve">RS - Serbia </t>
  </si>
  <si>
    <t>RU</t>
  </si>
  <si>
    <t>RU - Russian Federation</t>
  </si>
  <si>
    <t>RW</t>
  </si>
  <si>
    <t>RW - Rwanda</t>
  </si>
  <si>
    <t>SA</t>
  </si>
  <si>
    <t>SA - Saudi Arabia</t>
  </si>
  <si>
    <t>SB</t>
  </si>
  <si>
    <t>SB - Solomon Islands</t>
  </si>
  <si>
    <t>SC</t>
  </si>
  <si>
    <t>SC - Seychelles</t>
  </si>
  <si>
    <t>SD</t>
  </si>
  <si>
    <t>SD - Sudan</t>
  </si>
  <si>
    <t>SE</t>
  </si>
  <si>
    <t>SE - Sweden</t>
  </si>
  <si>
    <t>SG</t>
  </si>
  <si>
    <t>SG - Singapore</t>
  </si>
  <si>
    <t>SH</t>
  </si>
  <si>
    <t>SH - Saint Helena</t>
  </si>
  <si>
    <t>SI</t>
  </si>
  <si>
    <t>SI - Slovenia</t>
  </si>
  <si>
    <t>SJ</t>
  </si>
  <si>
    <t>SJ - Svalbard and Jan Mayen</t>
  </si>
  <si>
    <t>SK</t>
  </si>
  <si>
    <t>SK - Slovakia</t>
  </si>
  <si>
    <t>SL</t>
  </si>
  <si>
    <t>SL - Sierra Leone</t>
  </si>
  <si>
    <t>SM</t>
  </si>
  <si>
    <t>SM - San Marino</t>
  </si>
  <si>
    <t>SN</t>
  </si>
  <si>
    <t>SN - Senegal</t>
  </si>
  <si>
    <t>SO</t>
  </si>
  <si>
    <t>SO - Somalia</t>
  </si>
  <si>
    <t>SR</t>
  </si>
  <si>
    <t>SR - Suriname</t>
  </si>
  <si>
    <t>SS</t>
  </si>
  <si>
    <t>SS - South Sudan</t>
  </si>
  <si>
    <t>ST</t>
  </si>
  <si>
    <t>ST - Sao Tome and Principe</t>
  </si>
  <si>
    <t>SV</t>
  </si>
  <si>
    <t>SV - El Salvador</t>
  </si>
  <si>
    <t>SX</t>
  </si>
  <si>
    <t>SX - Sint Maarten</t>
  </si>
  <si>
    <t>SY</t>
  </si>
  <si>
    <t>SY - Syrian Arab Republic</t>
  </si>
  <si>
    <t>SZ</t>
  </si>
  <si>
    <t>SZ - Swaziland</t>
  </si>
  <si>
    <t>TC</t>
  </si>
  <si>
    <t>TC - Turks and Caicos Islands</t>
  </si>
  <si>
    <t>TD</t>
  </si>
  <si>
    <t>TD - Chad</t>
  </si>
  <si>
    <t>TF</t>
  </si>
  <si>
    <t>TF - French Southern Territories</t>
  </si>
  <si>
    <t>TG</t>
  </si>
  <si>
    <t>TG - Togo</t>
  </si>
  <si>
    <t>TH</t>
  </si>
  <si>
    <t>TH - Thailand</t>
  </si>
  <si>
    <t>TJ</t>
  </si>
  <si>
    <t>TJ - Tajikistan</t>
  </si>
  <si>
    <t>TK</t>
  </si>
  <si>
    <t>TK - Tokelau</t>
  </si>
  <si>
    <t>TL</t>
  </si>
  <si>
    <t>TL - Timor-Leste</t>
  </si>
  <si>
    <t>TM</t>
  </si>
  <si>
    <t>TM - Turkmenistan</t>
  </si>
  <si>
    <t>TN</t>
  </si>
  <si>
    <t>TN - Tunisia</t>
  </si>
  <si>
    <t>TO</t>
  </si>
  <si>
    <t>TO - Tonga</t>
  </si>
  <si>
    <t>TR</t>
  </si>
  <si>
    <t>TR - Turkey</t>
  </si>
  <si>
    <t>TT</t>
  </si>
  <si>
    <t>TT - Trinidad and Tobago</t>
  </si>
  <si>
    <t>TV</t>
  </si>
  <si>
    <t>TV - Tuvalu</t>
  </si>
  <si>
    <t>TW</t>
  </si>
  <si>
    <t>TW - Taiwan</t>
  </si>
  <si>
    <t>TZ</t>
  </si>
  <si>
    <t>TZ - Tanzania</t>
  </si>
  <si>
    <t>UA</t>
  </si>
  <si>
    <t>UA - Ukraine</t>
  </si>
  <si>
    <t>UG</t>
  </si>
  <si>
    <t>UG - Uganda</t>
  </si>
  <si>
    <t>UM</t>
  </si>
  <si>
    <t>UM - United States Minor Outlying Islands</t>
  </si>
  <si>
    <t>US</t>
  </si>
  <si>
    <t>US - United States</t>
  </si>
  <si>
    <t>UY</t>
  </si>
  <si>
    <t>UY - Uruguay</t>
  </si>
  <si>
    <t>UZ</t>
  </si>
  <si>
    <t>UZ - Uzbekistan</t>
  </si>
  <si>
    <t>VA</t>
  </si>
  <si>
    <t>VA - Holy See (Vatican City State)</t>
  </si>
  <si>
    <t>VC</t>
  </si>
  <si>
    <t>VC - Saint Vincent and the Grenadines</t>
  </si>
  <si>
    <t>VE</t>
  </si>
  <si>
    <t>VE - Venezuela</t>
  </si>
  <si>
    <t>VG</t>
  </si>
  <si>
    <t>VG - British Virgin Islands</t>
  </si>
  <si>
    <t>VI</t>
  </si>
  <si>
    <t>VI - U.S. Virgin Islands</t>
  </si>
  <si>
    <t>VN</t>
  </si>
  <si>
    <t>VN - Vietnam</t>
  </si>
  <si>
    <t>VU</t>
  </si>
  <si>
    <t>VU - Vanuatu</t>
  </si>
  <si>
    <t>WF</t>
  </si>
  <si>
    <t>WF - Wallis and Futuna</t>
  </si>
  <si>
    <t>WS</t>
  </si>
  <si>
    <t>WS - Samoa</t>
  </si>
  <si>
    <t>YE</t>
  </si>
  <si>
    <t>YE - Yemen</t>
  </si>
  <si>
    <t>YT</t>
  </si>
  <si>
    <t>YT - Mayotte</t>
  </si>
  <si>
    <t>ZA</t>
  </si>
  <si>
    <t>ZA - South Africa</t>
  </si>
  <si>
    <t>ZM</t>
  </si>
  <si>
    <t>ZM - Zambia</t>
  </si>
  <si>
    <t>ZW</t>
  </si>
  <si>
    <t>ZW - Zimbabwe</t>
  </si>
  <si>
    <t>CountryDescription</t>
  </si>
  <si>
    <t>CB</t>
  </si>
  <si>
    <t>CB - Central Bank</t>
  </si>
  <si>
    <t>GOV</t>
  </si>
  <si>
    <t>GOV - Government</t>
  </si>
  <si>
    <t>DTC</t>
  </si>
  <si>
    <t>DTC - Deposit-Taking Corporation</t>
  </si>
  <si>
    <t>FAU</t>
  </si>
  <si>
    <t>FAU - Financial Auxiliary</t>
  </si>
  <si>
    <t>FVC - Financial Vehicle Corporation</t>
  </si>
  <si>
    <t>HHS</t>
  </si>
  <si>
    <t>HHS - Household</t>
  </si>
  <si>
    <t>IC</t>
  </si>
  <si>
    <t>IC - Insurance Corporation</t>
  </si>
  <si>
    <t>IF</t>
  </si>
  <si>
    <t>IF - Investment Funds (excl MMF)</t>
  </si>
  <si>
    <t>MMF</t>
  </si>
  <si>
    <t>MMF - Money Market Fund</t>
  </si>
  <si>
    <t>NFC</t>
  </si>
  <si>
    <t>NFC - Non-Financial Corporation</t>
  </si>
  <si>
    <t>OFI</t>
  </si>
  <si>
    <t>OFI - Other Financial Intermediaries</t>
  </si>
  <si>
    <t>PF - Pension Fund</t>
  </si>
  <si>
    <t>SPV - Special Purpose Vehicle</t>
  </si>
  <si>
    <t>SectorDescription</t>
  </si>
  <si>
    <t>X</t>
  </si>
  <si>
    <t>NULL</t>
  </si>
  <si>
    <t>MonthDiff</t>
  </si>
  <si>
    <t>Financial Vehicle Corporation</t>
  </si>
  <si>
    <t>VehicleSPETypeDescription</t>
  </si>
  <si>
    <t xml:space="preserve">County </t>
  </si>
  <si>
    <t xml:space="preserve">Eircode </t>
  </si>
  <si>
    <t xml:space="preserve">AddressLine1 </t>
  </si>
  <si>
    <t>AddressLine2</t>
  </si>
  <si>
    <t>AddressLine3</t>
  </si>
  <si>
    <t>Ireland</t>
  </si>
  <si>
    <t>Vehicle Activity</t>
  </si>
  <si>
    <t>Vehicle Currency</t>
  </si>
  <si>
    <t>Nature of Securitisation</t>
  </si>
  <si>
    <t>Action</t>
  </si>
  <si>
    <t>Single</t>
  </si>
  <si>
    <t>Multiple</t>
  </si>
  <si>
    <t>Registered Name of Vehicle</t>
  </si>
  <si>
    <t>Registered Office of Vehicle</t>
  </si>
  <si>
    <t>T34</t>
  </si>
  <si>
    <t>Y14</t>
  </si>
  <si>
    <t>A84</t>
  </si>
  <si>
    <t>H65</t>
  </si>
  <si>
    <t>N37</t>
  </si>
  <si>
    <t>R14</t>
  </si>
  <si>
    <t>K32</t>
  </si>
  <si>
    <t>F26</t>
  </si>
  <si>
    <t>H53</t>
  </si>
  <si>
    <t>P31</t>
  </si>
  <si>
    <t>F31</t>
  </si>
  <si>
    <t>A41</t>
  </si>
  <si>
    <t>F35</t>
  </si>
  <si>
    <t>F56</t>
  </si>
  <si>
    <t>P72</t>
  </si>
  <si>
    <t>P75</t>
  </si>
  <si>
    <t>H14</t>
  </si>
  <si>
    <t>R42</t>
  </si>
  <si>
    <t>A94</t>
  </si>
  <si>
    <t>F52</t>
  </si>
  <si>
    <t>A98</t>
  </si>
  <si>
    <t>V23</t>
  </si>
  <si>
    <t>E21</t>
  </si>
  <si>
    <t>R93</t>
  </si>
  <si>
    <t>A81</t>
  </si>
  <si>
    <t>N41</t>
  </si>
  <si>
    <t>E32</t>
  </si>
  <si>
    <t>P43</t>
  </si>
  <si>
    <t>E25</t>
  </si>
  <si>
    <t>F23</t>
  </si>
  <si>
    <t>A75</t>
  </si>
  <si>
    <t>F45</t>
  </si>
  <si>
    <t>H12</t>
  </si>
  <si>
    <t>P56</t>
  </si>
  <si>
    <t>F12</t>
  </si>
  <si>
    <t>H71</t>
  </si>
  <si>
    <t>P85</t>
  </si>
  <si>
    <t>H23</t>
  </si>
  <si>
    <t>E91</t>
  </si>
  <si>
    <t>P24</t>
  </si>
  <si>
    <t>H16</t>
  </si>
  <si>
    <t>T12</t>
  </si>
  <si>
    <t>T23</t>
  </si>
  <si>
    <t>P14</t>
  </si>
  <si>
    <t>P32</t>
  </si>
  <si>
    <t>P47</t>
  </si>
  <si>
    <t>T56</t>
  </si>
  <si>
    <t>R56</t>
  </si>
  <si>
    <t>F94</t>
  </si>
  <si>
    <t>A92</t>
  </si>
  <si>
    <t>D01</t>
  </si>
  <si>
    <t>D02</t>
  </si>
  <si>
    <t>D03</t>
  </si>
  <si>
    <t>D04</t>
  </si>
  <si>
    <t>D05</t>
  </si>
  <si>
    <t>D06</t>
  </si>
  <si>
    <t>D6W</t>
  </si>
  <si>
    <t>D07</t>
  </si>
  <si>
    <t>D08</t>
  </si>
  <si>
    <t>D09</t>
  </si>
  <si>
    <t>D10</t>
  </si>
  <si>
    <t>D11</t>
  </si>
  <si>
    <t>D12</t>
  </si>
  <si>
    <t>D13</t>
  </si>
  <si>
    <t>D14</t>
  </si>
  <si>
    <t>D15</t>
  </si>
  <si>
    <t>D16</t>
  </si>
  <si>
    <t>D17</t>
  </si>
  <si>
    <t>D18</t>
  </si>
  <si>
    <t>D20</t>
  </si>
  <si>
    <t>D22</t>
  </si>
  <si>
    <t>D24</t>
  </si>
  <si>
    <t>A86</t>
  </si>
  <si>
    <t>A91</t>
  </si>
  <si>
    <t>X35</t>
  </si>
  <si>
    <t>A85</t>
  </si>
  <si>
    <t>R45</t>
  </si>
  <si>
    <t>A83</t>
  </si>
  <si>
    <t>V95</t>
  </si>
  <si>
    <t>Y21</t>
  </si>
  <si>
    <t>P61</t>
  </si>
  <si>
    <t>H91</t>
  </si>
  <si>
    <t>A42</t>
  </si>
  <si>
    <t>A96</t>
  </si>
  <si>
    <t>Y25</t>
  </si>
  <si>
    <t>A63</t>
  </si>
  <si>
    <t>A82</t>
  </si>
  <si>
    <t>R51</t>
  </si>
  <si>
    <t>R95</t>
  </si>
  <si>
    <t>V93</t>
  </si>
  <si>
    <t>X42</t>
  </si>
  <si>
    <t>V35</t>
  </si>
  <si>
    <t>V15</t>
  </si>
  <si>
    <t>P17</t>
  </si>
  <si>
    <t>F92</t>
  </si>
  <si>
    <t>F93</t>
  </si>
  <si>
    <t>V94</t>
  </si>
  <si>
    <t>V31</t>
  </si>
  <si>
    <t>T45</t>
  </si>
  <si>
    <t>N39</t>
  </si>
  <si>
    <t>H62</t>
  </si>
  <si>
    <t>K78</t>
  </si>
  <si>
    <t>K45</t>
  </si>
  <si>
    <t>P12</t>
  </si>
  <si>
    <t>K36</t>
  </si>
  <si>
    <t>P51</t>
  </si>
  <si>
    <t>W23</t>
  </si>
  <si>
    <t>P25</t>
  </si>
  <si>
    <t>P67</t>
  </si>
  <si>
    <t>H18</t>
  </si>
  <si>
    <t>W34</t>
  </si>
  <si>
    <t>R21</t>
  </si>
  <si>
    <t>N91</t>
  </si>
  <si>
    <t>W91</t>
  </si>
  <si>
    <t>C15</t>
  </si>
  <si>
    <t>E45</t>
  </si>
  <si>
    <t>Y34</t>
  </si>
  <si>
    <t>W12</t>
  </si>
  <si>
    <t>V42</t>
  </si>
  <si>
    <t>A45</t>
  </si>
  <si>
    <t>R32</t>
  </si>
  <si>
    <t>F42</t>
  </si>
  <si>
    <t>E53</t>
  </si>
  <si>
    <t>K56</t>
  </si>
  <si>
    <t>V14</t>
  </si>
  <si>
    <t>K34</t>
  </si>
  <si>
    <t>P81</t>
  </si>
  <si>
    <t>F91</t>
  </si>
  <si>
    <t>K67</t>
  </si>
  <si>
    <t>E41</t>
  </si>
  <si>
    <t>E34</t>
  </si>
  <si>
    <t>V92</t>
  </si>
  <si>
    <t>H54</t>
  </si>
  <si>
    <t>R35</t>
  </si>
  <si>
    <t>X91</t>
  </si>
  <si>
    <t>F28</t>
  </si>
  <si>
    <t>Y35</t>
  </si>
  <si>
    <t>A67</t>
  </si>
  <si>
    <t>P36</t>
  </si>
  <si>
    <t>EircodeRoutingKey</t>
  </si>
  <si>
    <t>EircodeRoutingKeyDescription</t>
  </si>
  <si>
    <t>Arklow</t>
  </si>
  <si>
    <t>Ashbourne</t>
  </si>
  <si>
    <t>Athenry</t>
  </si>
  <si>
    <t>Athlone</t>
  </si>
  <si>
    <t>Athy</t>
  </si>
  <si>
    <t>Balbriggan</t>
  </si>
  <si>
    <t>Ballina</t>
  </si>
  <si>
    <t>Ballinasloe</t>
  </si>
  <si>
    <t>Ballincollig</t>
  </si>
  <si>
    <t>Ballinrobe</t>
  </si>
  <si>
    <t>Ballyboughal</t>
  </si>
  <si>
    <t>Ballyhaunis</t>
  </si>
  <si>
    <t>Ballymote</t>
  </si>
  <si>
    <t>Bandon</t>
  </si>
  <si>
    <t>Bantry</t>
  </si>
  <si>
    <t>Belturbet</t>
  </si>
  <si>
    <t>Birr</t>
  </si>
  <si>
    <t>Blackrock</t>
  </si>
  <si>
    <t>Boyle</t>
  </si>
  <si>
    <t>Bray</t>
  </si>
  <si>
    <t>Caherciveen</t>
  </si>
  <si>
    <t>Cahir</t>
  </si>
  <si>
    <t>Carlow</t>
  </si>
  <si>
    <t>Carrickmacross</t>
  </si>
  <si>
    <t>Carrick-On-Shannon</t>
  </si>
  <si>
    <t>Carrick-On-Suir</t>
  </si>
  <si>
    <t>Carrigaline</t>
  </si>
  <si>
    <t>Cashel</t>
  </si>
  <si>
    <t>Castlebar</t>
  </si>
  <si>
    <t>Castleblayney</t>
  </si>
  <si>
    <t>Castlerea</t>
  </si>
  <si>
    <t>Cavan</t>
  </si>
  <si>
    <t>Charleville</t>
  </si>
  <si>
    <t>Claremorris</t>
  </si>
  <si>
    <t>Clifden</t>
  </si>
  <si>
    <t>Clonakilty</t>
  </si>
  <si>
    <t>Clones</t>
  </si>
  <si>
    <t>Clonmel</t>
  </si>
  <si>
    <t>Cobh</t>
  </si>
  <si>
    <t>Cootehill</t>
  </si>
  <si>
    <t>Cork - Ballinhassig</t>
  </si>
  <si>
    <t>Cork - Blarney</t>
  </si>
  <si>
    <t>Cork - Crookstown</t>
  </si>
  <si>
    <t>Cork - Donoughmore</t>
  </si>
  <si>
    <t>Cork - Dunmanway</t>
  </si>
  <si>
    <t>Cork - Watergrasshill</t>
  </si>
  <si>
    <t>Cork - Whitechurch</t>
  </si>
  <si>
    <t>Curragh Camp</t>
  </si>
  <si>
    <t>Donegal</t>
  </si>
  <si>
    <t>Drogheda</t>
  </si>
  <si>
    <t>Dublin 1</t>
  </si>
  <si>
    <t>Dublin 2</t>
  </si>
  <si>
    <t>Dublin 3</t>
  </si>
  <si>
    <t>Dublin 4</t>
  </si>
  <si>
    <t>Dublin 5</t>
  </si>
  <si>
    <t>Dublin 6</t>
  </si>
  <si>
    <t>Dublin 6W</t>
  </si>
  <si>
    <t>Dublin 7</t>
  </si>
  <si>
    <t>Dublin 8</t>
  </si>
  <si>
    <t>Dublin 9</t>
  </si>
  <si>
    <t>Dublin 10</t>
  </si>
  <si>
    <t>Dublin 11</t>
  </si>
  <si>
    <t>Dublin 12</t>
  </si>
  <si>
    <t>Dublin 13</t>
  </si>
  <si>
    <t>Dublin 14</t>
  </si>
  <si>
    <t>Dublin 15</t>
  </si>
  <si>
    <t>Dublin 16</t>
  </si>
  <si>
    <t>Dublin 17</t>
  </si>
  <si>
    <t>Dublin 18</t>
  </si>
  <si>
    <t>Dublin 20</t>
  </si>
  <si>
    <t>Dublin 22</t>
  </si>
  <si>
    <t>Dublin 24</t>
  </si>
  <si>
    <t>Dunboyne</t>
  </si>
  <si>
    <t>Dundalk</t>
  </si>
  <si>
    <t>Dungarvan</t>
  </si>
  <si>
    <t>Dunshaughlin</t>
  </si>
  <si>
    <t>Edenderry</t>
  </si>
  <si>
    <t>Enfield</t>
  </si>
  <si>
    <t>Ennis</t>
  </si>
  <si>
    <t>Enniscorthy</t>
  </si>
  <si>
    <t>Fermoy</t>
  </si>
  <si>
    <t>Galway</t>
  </si>
  <si>
    <t>Garristown</t>
  </si>
  <si>
    <t>Glenageary</t>
  </si>
  <si>
    <t>Gorey</t>
  </si>
  <si>
    <t>Greystones</t>
  </si>
  <si>
    <t>Kells</t>
  </si>
  <si>
    <t>Kildare</t>
  </si>
  <si>
    <t>Kilkenny</t>
  </si>
  <si>
    <t>Killarney</t>
  </si>
  <si>
    <t>Kilmacthomas</t>
  </si>
  <si>
    <t>Kilmallock</t>
  </si>
  <si>
    <t>Kilrush</t>
  </si>
  <si>
    <t>Kinsale</t>
  </si>
  <si>
    <t>Letterkenny</t>
  </si>
  <si>
    <t>Lifford</t>
  </si>
  <si>
    <t>Limerick</t>
  </si>
  <si>
    <t>Listowel</t>
  </si>
  <si>
    <t>Little Island</t>
  </si>
  <si>
    <t>Longford</t>
  </si>
  <si>
    <t>Loughrea</t>
  </si>
  <si>
    <t>Lucan</t>
  </si>
  <si>
    <t>Lusk</t>
  </si>
  <si>
    <t>Macroom</t>
  </si>
  <si>
    <t>Malahide</t>
  </si>
  <si>
    <t>Mallow</t>
  </si>
  <si>
    <t>Maynooth</t>
  </si>
  <si>
    <t>Midleton</t>
  </si>
  <si>
    <t>Mitchelstown</t>
  </si>
  <si>
    <t>Monaghan</t>
  </si>
  <si>
    <t>Monasterevin</t>
  </si>
  <si>
    <t>Muine Bheag</t>
  </si>
  <si>
    <t>Mullingar</t>
  </si>
  <si>
    <t>Naas</t>
  </si>
  <si>
    <t>Navan</t>
  </si>
  <si>
    <t>Nenagh</t>
  </si>
  <si>
    <t>New Ross</t>
  </si>
  <si>
    <t>Newbridge</t>
  </si>
  <si>
    <t>Newcastle West</t>
  </si>
  <si>
    <t>Oldtown</t>
  </si>
  <si>
    <t>Portlaoise</t>
  </si>
  <si>
    <t>Roscommon</t>
  </si>
  <si>
    <t>Roscrea</t>
  </si>
  <si>
    <t>Rush</t>
  </si>
  <si>
    <t>Shannon</t>
  </si>
  <si>
    <t>Skerries</t>
  </si>
  <si>
    <t>Skibbereen</t>
  </si>
  <si>
    <t>Sligo</t>
  </si>
  <si>
    <t>Swords</t>
  </si>
  <si>
    <t>Thurles</t>
  </si>
  <si>
    <t>Tipperary</t>
  </si>
  <si>
    <t>Tralee</t>
  </si>
  <si>
    <t>Tuam</t>
  </si>
  <si>
    <t>Tullamore</t>
  </si>
  <si>
    <t>Waterford</t>
  </si>
  <si>
    <t>Westport</t>
  </si>
  <si>
    <t>Wexford</t>
  </si>
  <si>
    <t>Wicklow</t>
  </si>
  <si>
    <t>Youghal</t>
  </si>
  <si>
    <t>Administration</t>
  </si>
  <si>
    <t>Company</t>
  </si>
  <si>
    <t>Certification</t>
  </si>
  <si>
    <t>First Reporting Quarter</t>
  </si>
  <si>
    <t>Last Reporting Quarter</t>
  </si>
  <si>
    <t>Liquidated</t>
  </si>
  <si>
    <t>EntityName</t>
  </si>
  <si>
    <t>VehicleActivityFVC</t>
  </si>
  <si>
    <t>VehicleActivitySPV</t>
  </si>
  <si>
    <t>CMBS - Commercial Mortgage Backed Securities</t>
  </si>
  <si>
    <t>Vehicle Activity To Be Confirmed</t>
  </si>
  <si>
    <t>Consolidator</t>
  </si>
  <si>
    <t>Vehicle LEI Code</t>
  </si>
  <si>
    <t>CRO Number</t>
  </si>
  <si>
    <t>SPE Registration</t>
  </si>
  <si>
    <t>Company Type</t>
  </si>
  <si>
    <t>Select</t>
  </si>
  <si>
    <t>Securitisation Declaration</t>
  </si>
  <si>
    <t>Section 110 Declaration</t>
  </si>
  <si>
    <t>Yes</t>
  </si>
  <si>
    <t>No</t>
  </si>
  <si>
    <t>DebtSecurityExchangeCountry</t>
  </si>
  <si>
    <t>Canada</t>
  </si>
  <si>
    <t>China</t>
  </si>
  <si>
    <t>France</t>
  </si>
  <si>
    <t>Germany</t>
  </si>
  <si>
    <t>Hong Kong</t>
  </si>
  <si>
    <t>Japan</t>
  </si>
  <si>
    <t>Switzerland</t>
  </si>
  <si>
    <t>United Kingdom</t>
  </si>
  <si>
    <t>United States</t>
  </si>
  <si>
    <t>Legal Entity Type</t>
  </si>
  <si>
    <t xml:space="preserve">Institution.NatureOfSecuritisation </t>
  </si>
  <si>
    <t>VehicleActivity#</t>
  </si>
  <si>
    <t>Orphan Structure</t>
  </si>
  <si>
    <t>Multi-Vehicle Structure</t>
  </si>
  <si>
    <t>First Report Asset Size</t>
  </si>
  <si>
    <t>Maximum Issuance Size</t>
  </si>
  <si>
    <t>Debt Security Issuer</t>
  </si>
  <si>
    <t>Debt Security Listing Status</t>
  </si>
  <si>
    <t>XX</t>
  </si>
  <si>
    <t>SPE Activity Information</t>
  </si>
  <si>
    <t>Text</t>
  </si>
  <si>
    <t>Debt Security Location of Exchange</t>
  </si>
  <si>
    <t>Sponsor(s)</t>
  </si>
  <si>
    <t>Interlinkages</t>
  </si>
  <si>
    <t>Originator(s)</t>
  </si>
  <si>
    <t>Non-Consolidated Interest(s)</t>
  </si>
  <si>
    <t>Non-Consolidated Interest Disclosure</t>
  </si>
  <si>
    <r>
      <t xml:space="preserve">Please list Guarantor(s) on </t>
    </r>
    <r>
      <rPr>
        <sz val="8"/>
        <color rgb="FFC00000"/>
        <rFont val="Tahoma"/>
        <family val="2"/>
      </rPr>
      <t>spe_guarantor</t>
    </r>
    <r>
      <rPr>
        <sz val="8"/>
        <color rgb="FF002060"/>
        <rFont val="Tahoma"/>
        <family val="2"/>
      </rPr>
      <t xml:space="preserve"> Tab</t>
    </r>
  </si>
  <si>
    <t>Guarantor(s)</t>
  </si>
  <si>
    <t>Reporting Agent Name</t>
  </si>
  <si>
    <t>Reporting Agent -  Central Bank C-Code</t>
  </si>
  <si>
    <t>Corporate Service Provider</t>
  </si>
  <si>
    <t>Corporate Service Provider -  Central Bank C-Code</t>
  </si>
  <si>
    <t>Sign-Off</t>
  </si>
  <si>
    <t>Contact E-mail</t>
  </si>
  <si>
    <t>Contact Telephone Number</t>
  </si>
  <si>
    <t>Completed By</t>
  </si>
  <si>
    <t>Please note that contravention of an obligation imposed under Section 18 of the Central Bank Act 1971 is an offence under Section 58 of that Act and may result in the Central Bank applying to the High Court 
for an enforcement order pursuant to Section 52 of the Central Bank (Supervision and Enforcement) Act 2013.</t>
  </si>
  <si>
    <t>Certify Text</t>
  </si>
  <si>
    <r>
      <t xml:space="preserve">Please list vehicle Sponsor(s) on </t>
    </r>
    <r>
      <rPr>
        <sz val="8"/>
        <color rgb="FFC00000"/>
        <rFont val="Tahoma"/>
        <family val="2"/>
      </rPr>
      <t>spe_sponsor</t>
    </r>
    <r>
      <rPr>
        <sz val="8"/>
        <color rgb="FF002060"/>
        <rFont val="Tahoma"/>
        <family val="2"/>
      </rPr>
      <t xml:space="preserve"> Tab</t>
    </r>
  </si>
  <si>
    <t>Vehicle Activity Description</t>
  </si>
  <si>
    <t>Dissolved</t>
  </si>
  <si>
    <t>Liquidating</t>
  </si>
  <si>
    <t>Section 110 Status Revoked</t>
  </si>
  <si>
    <t>Reclassification from FVC to SPV</t>
  </si>
  <si>
    <t>Reclassification from SPV to FVC</t>
  </si>
  <si>
    <t>Dissolved/Liquidating</t>
  </si>
  <si>
    <t>Not Applicable</t>
  </si>
  <si>
    <t>Completion Date</t>
  </si>
  <si>
    <t>Consolidation</t>
  </si>
  <si>
    <t>Consolidation Accountancy Standard</t>
  </si>
  <si>
    <t>Address.AddressType = Registered Office</t>
  </si>
  <si>
    <t>Institution.InstitutionName</t>
  </si>
  <si>
    <t>Address.AddressLine1</t>
  </si>
  <si>
    <t>Address.AddressLine2</t>
  </si>
  <si>
    <t>Address.AddressLine3</t>
  </si>
  <si>
    <t>Address.CountyCode</t>
  </si>
  <si>
    <t>Address.AddressLine5</t>
  </si>
  <si>
    <t>Address.CountryCode</t>
  </si>
  <si>
    <t>InstitutionType.EntityType</t>
  </si>
  <si>
    <t>Identifier.Value where Identifier.IdentifierType = LEI</t>
  </si>
  <si>
    <t>Identifier.Value where Identifier.IdentifierType = CRO</t>
  </si>
  <si>
    <t>RegulatoryStatus.RevocationReason</t>
  </si>
  <si>
    <t>RegulatoryStatus.StartDate</t>
  </si>
  <si>
    <t>InstitutionConnection.StartDate</t>
  </si>
  <si>
    <t>InstitutionConnection.EndDate</t>
  </si>
  <si>
    <t>Where InstitutionConnection.Role = ReportingAgent Is</t>
  </si>
  <si>
    <t>Institution.InstitutionNumber</t>
  </si>
  <si>
    <t>InstitutionConnection.Role = CorporateServicesProvider Is</t>
  </si>
  <si>
    <t>legalstatusoptionset</t>
  </si>
  <si>
    <t>Sole Trader</t>
  </si>
  <si>
    <t>Partnership</t>
  </si>
  <si>
    <t>Private Limited Company</t>
  </si>
  <si>
    <t>Public Limited Company</t>
  </si>
  <si>
    <t>Unlimited Liability Company</t>
  </si>
  <si>
    <t>Limited Company</t>
  </si>
  <si>
    <t>Unlimited Public Company</t>
  </si>
  <si>
    <t>Limited Liability Company</t>
  </si>
  <si>
    <t>Local Authority</t>
  </si>
  <si>
    <t>Societas Europaea</t>
  </si>
  <si>
    <t>ICAV</t>
  </si>
  <si>
    <t>Designated Activity Company</t>
  </si>
  <si>
    <t>Limited Partnership</t>
  </si>
  <si>
    <t>Trust</t>
  </si>
  <si>
    <t>Unit Trust</t>
  </si>
  <si>
    <t>Nature of Securitisation - Description</t>
  </si>
  <si>
    <t>Ignore</t>
  </si>
  <si>
    <t>Numeric</t>
  </si>
  <si>
    <t>RegulatoryStatus.EndDate</t>
  </si>
  <si>
    <t>Deregistration/Revocation Type</t>
  </si>
  <si>
    <t>Deregistration/Revocation Reason</t>
  </si>
  <si>
    <t>RevocationType</t>
  </si>
  <si>
    <t>Voluntary</t>
  </si>
  <si>
    <t>Involuntary</t>
  </si>
  <si>
    <t>RevocationReason</t>
  </si>
  <si>
    <t>RegulatoryStatus.RevocationType</t>
  </si>
  <si>
    <t>Other/Not specified</t>
  </si>
  <si>
    <t>Voluntary Withdrawal/Revocation</t>
  </si>
  <si>
    <t>Transfer of Engagements</t>
  </si>
  <si>
    <t>Not renewed</t>
  </si>
  <si>
    <t>Authorisation Transferred to AIFM</t>
  </si>
  <si>
    <t>Authorisation Transferred to IIA</t>
  </si>
  <si>
    <t>Authorisation Transferred to MiFID</t>
  </si>
  <si>
    <t>Authorisation Transferred to UCITS</t>
  </si>
  <si>
    <t>Matured or redeemed</t>
  </si>
  <si>
    <t>No securitisation activity</t>
  </si>
  <si>
    <t>Not within scope of Regulation</t>
  </si>
  <si>
    <t>Regulatory term expired</t>
  </si>
  <si>
    <t>Breach of capital requirements</t>
  </si>
  <si>
    <t>Breach of Condition(s) of Authorisation</t>
  </si>
  <si>
    <t>Breach of legislation</t>
  </si>
  <si>
    <t>Institution.AccountingStandard</t>
  </si>
  <si>
    <t>National GAAP consistent with IFRS</t>
  </si>
  <si>
    <t>National GAAP not consistent with IFRS</t>
  </si>
  <si>
    <t>Irish and UK GAAP</t>
  </si>
  <si>
    <t>accountingstandardoptionset</t>
  </si>
  <si>
    <t>IdentifierType.LEI</t>
  </si>
  <si>
    <t>natureofsecuritisationoptionset</t>
  </si>
  <si>
    <t>fvcvehicletypeoptionset</t>
  </si>
  <si>
    <t>spvvehicletypeoptionset</t>
  </si>
  <si>
    <t>spevehicletypeoptionset</t>
  </si>
  <si>
    <t>currencyoptionset</t>
  </si>
  <si>
    <t>Institution.NatureOfSecuritisation.Description</t>
  </si>
  <si>
    <t>Institution.VehicleActivity.Description</t>
  </si>
  <si>
    <t>Institution.AssetOriginator.Quantity</t>
  </si>
  <si>
    <t>Institution.DebtSecurityListingStatus.Country</t>
  </si>
  <si>
    <t>Flag.IdenticalRACSP</t>
  </si>
  <si>
    <t>Instutution.MaximumIssuance</t>
  </si>
  <si>
    <t>Instutution.InitialAssets</t>
  </si>
  <si>
    <t>Institution.NatureOfSecuritisation.Status</t>
  </si>
  <si>
    <t>Institution.Section110.Status</t>
  </si>
  <si>
    <t>Institution.OrphanStructure.Status</t>
  </si>
  <si>
    <t>Institution.MultiVehicleStructure.Status</t>
  </si>
  <si>
    <t>Institution.DebtSecurityIssuer.Status</t>
  </si>
  <si>
    <t>Institution.DebtSecurityListingStatus.Status</t>
  </si>
  <si>
    <t>Institution.Sponsor.Quantity</t>
  </si>
  <si>
    <t>Institution.Originator.Quantity</t>
  </si>
  <si>
    <t>Institution.Consolidator.Status</t>
  </si>
  <si>
    <t>Institution.Consolidator.Quantity</t>
  </si>
  <si>
    <t>Registration.Date</t>
  </si>
  <si>
    <t>Registration.Person.Name</t>
  </si>
  <si>
    <t>Registration.InstitutionName</t>
  </si>
  <si>
    <t>Registration.Person.Email</t>
  </si>
  <si>
    <t>Registration.Person.Telephone</t>
  </si>
  <si>
    <t>By selecting "I certify that the information contained in this form is accurate", you are confirming that the information you are supplying in this form is accurate to the best of your knowledge 
and complies with the document 'Financial Vehicle Corporation Registration Form - Guidance Notes" available on https://centralbank.ie/statistics/statistical-reporting-requirements/financial-vehicle-corporations</t>
  </si>
  <si>
    <t>By selecting "I certify that the information contained in this form is accurate", you are confirming that the information you are supplying in this form is accurate to the best of your knowledge 
and complies with the document 'Special Purpose Vehicle Registration Form - Guidance Notes" available on https://centralbank.ie/statistics/statistical-reporting-requirements/special-purpose-vehicles</t>
  </si>
  <si>
    <t>Registration.Certification</t>
  </si>
  <si>
    <t>Institution.NonConsolidatedInterest.Status</t>
  </si>
  <si>
    <t>Institution.NonConsolidatedInterest.Quantity</t>
  </si>
  <si>
    <t>Institution.Guarantor.Quantity</t>
  </si>
  <si>
    <t>Default is 2999Q4 until there is a new Reporting Agent</t>
  </si>
  <si>
    <t>Default is 2999Q4 until there is a new Corporate Service Provider</t>
  </si>
  <si>
    <t>DatabaseField/Unity</t>
  </si>
  <si>
    <t>Reporting Agent is Corporate Services Provider</t>
  </si>
  <si>
    <t>Actions / Information / Information Required</t>
  </si>
  <si>
    <t>Originator of Assets - Single or Multiple</t>
  </si>
  <si>
    <t>Group</t>
  </si>
  <si>
    <t>Central Bank Use</t>
  </si>
  <si>
    <t>GuarantorIsSponsorFlagDB</t>
  </si>
  <si>
    <t>InterlinkageType</t>
  </si>
  <si>
    <t>InstitutionNumber</t>
  </si>
  <si>
    <t>InstitutionName</t>
  </si>
  <si>
    <t>Allocation</t>
  </si>
  <si>
    <t>spe_sponsor</t>
  </si>
  <si>
    <t>spe_originator</t>
  </si>
  <si>
    <t>spe_consolidator</t>
  </si>
  <si>
    <t>spe_nci</t>
  </si>
  <si>
    <t>spe_guarantor</t>
  </si>
  <si>
    <t>RegulatoryStatus.Status</t>
  </si>
  <si>
    <t>spe_registration</t>
  </si>
  <si>
    <t>EntityType</t>
  </si>
  <si>
    <t>IdentifierType.CRO</t>
  </si>
  <si>
    <t>Registered Office</t>
  </si>
  <si>
    <t>AddressLine1</t>
  </si>
  <si>
    <t>CountyCode</t>
  </si>
  <si>
    <t>AddressLine5</t>
  </si>
  <si>
    <t>CountryCode</t>
  </si>
  <si>
    <t>VehicleActivity.Description</t>
  </si>
  <si>
    <t>NatureOfSecuritisation.Status</t>
  </si>
  <si>
    <t xml:space="preserve">NatureOfSecuritisation </t>
  </si>
  <si>
    <t>NatureOfSecuritisation.Description</t>
  </si>
  <si>
    <t>Section110.Status</t>
  </si>
  <si>
    <t>OrphanStructure.Status</t>
  </si>
  <si>
    <t>MultiVehicleStructure.Status</t>
  </si>
  <si>
    <t>AssetOriginator.Quantity</t>
  </si>
  <si>
    <t>Reporting Status</t>
  </si>
  <si>
    <t>RegulatoryStatus.Reporting</t>
  </si>
  <si>
    <t>EUR Millions</t>
  </si>
  <si>
    <t>Description</t>
  </si>
  <si>
    <t>DebtSecurityIssuer.Status</t>
  </si>
  <si>
    <t>DebtSecurityListingStatus.Status</t>
  </si>
  <si>
    <t>DebtSecurityListingStatus.Country</t>
  </si>
  <si>
    <t>Consolidator.Status</t>
  </si>
  <si>
    <t>Consolidator.AccountingStandard</t>
  </si>
  <si>
    <t>NonConsolidatedInterest.Status</t>
  </si>
  <si>
    <t>spe_racsp</t>
  </si>
  <si>
    <t>ReportingAgent Is</t>
  </si>
  <si>
    <t>CorporateServicesProvider Is</t>
  </si>
  <si>
    <t>Registered Office of Vehicle - Floor, Building</t>
  </si>
  <si>
    <t xml:space="preserve">AddressLine1 - Street </t>
  </si>
  <si>
    <t>AddressLine2 - Area</t>
  </si>
  <si>
    <t>AddressLine3 - Other</t>
  </si>
  <si>
    <t>FieldType</t>
  </si>
  <si>
    <t>Min</t>
  </si>
  <si>
    <t>Max</t>
  </si>
  <si>
    <t>Alphanumeric</t>
  </si>
  <si>
    <t>Logical</t>
  </si>
  <si>
    <t>Comments</t>
  </si>
  <si>
    <t>CellReference</t>
  </si>
  <si>
    <t>spe_registration!$I$3</t>
  </si>
  <si>
    <t>spe_registration!$I$7</t>
  </si>
  <si>
    <t>spe_registration!$I$5</t>
  </si>
  <si>
    <t>spe_registration!$I$9</t>
  </si>
  <si>
    <t>spe_registration!$I$11</t>
  </si>
  <si>
    <t>spe_registration!$I$13</t>
  </si>
  <si>
    <t>spe_registration!$I$14</t>
  </si>
  <si>
    <t>spe_registration!$I$15</t>
  </si>
  <si>
    <t>spe_registration!$I$16</t>
  </si>
  <si>
    <t>spe_registration!$I$17</t>
  </si>
  <si>
    <t>spe_registration!$I$18</t>
  </si>
  <si>
    <t>spe_registration!$I$19</t>
  </si>
  <si>
    <t>spe_registration!$I$23</t>
  </si>
  <si>
    <t>spe_registration!$I$32</t>
  </si>
  <si>
    <t>spe_registration!$I$34</t>
  </si>
  <si>
    <t>spe_registration!$I$41</t>
  </si>
  <si>
    <t>spe_registration!$I$45</t>
  </si>
  <si>
    <t>spe_registration!$I$87</t>
  </si>
  <si>
    <t>ONRErrorMessage</t>
  </si>
  <si>
    <t>spe_registration!$I$103</t>
  </si>
  <si>
    <t>spe_registration!$I$38</t>
  </si>
  <si>
    <t>Database</t>
  </si>
  <si>
    <t>spe_registration!$I$80</t>
  </si>
  <si>
    <t>spe_db_interlinkages!$E$2:$E$106</t>
  </si>
  <si>
    <t>Percentage</t>
  </si>
  <si>
    <t>spe_db_interlinkages!$H$2:$H$106</t>
  </si>
  <si>
    <t>spe_db_interlinkages!$I$2:$I$106</t>
  </si>
  <si>
    <t>spe_db_interlinkages!$J$2:$J$106</t>
  </si>
  <si>
    <t>spe_db_interlinkages!$K$2:$K$106</t>
  </si>
  <si>
    <t>Validation</t>
  </si>
  <si>
    <t>Future Interlinkage1</t>
  </si>
  <si>
    <t>Non-Securitisation SPE (SPV)</t>
  </si>
  <si>
    <t xml:space="preserve"> Select Country</t>
  </si>
  <si>
    <t>Select Sector</t>
  </si>
  <si>
    <t>Select Country</t>
  </si>
  <si>
    <t>GuarantorIsSponsorYesNo</t>
  </si>
  <si>
    <t>Name of the entity which provides the registered office address for the Vehicle should be provided here.</t>
  </si>
  <si>
    <t>The reporting agent is the company who will be submitting quarterly returns for the vehicle going forward. 
This may or may not be the entity who files the initial registration form.</t>
  </si>
  <si>
    <t>MO - Macao</t>
  </si>
  <si>
    <t>Another Unspecified Country</t>
  </si>
  <si>
    <t>MIV - Multi-Issuance Vehicle - Declaration</t>
  </si>
  <si>
    <t>Institution.MultiIssuanceVehicle.Status</t>
  </si>
  <si>
    <t>spe_registration!$I$25</t>
  </si>
  <si>
    <t>spe_registration!$I$31</t>
  </si>
  <si>
    <t>spe_registration!$I$37</t>
  </si>
  <si>
    <t>spe_registration!$I$44</t>
  </si>
  <si>
    <t>spe_registration!$I$50</t>
  </si>
  <si>
    <t>spe_registration!$I$89</t>
  </si>
  <si>
    <t>Other CDO - Collateralised Debt Obligations</t>
  </si>
  <si>
    <t>ABCP - Asset Backed Commercial Paper</t>
  </si>
  <si>
    <t>Trade Receivables</t>
  </si>
  <si>
    <t>ABS  - Consumer - Asset Backed Securities</t>
  </si>
  <si>
    <t>ABS  - Corporate - Asset Backed Securities</t>
  </si>
  <si>
    <t>CBO  - Collateralised Bond Obligations</t>
  </si>
  <si>
    <t>CLO  - Collateralised Loan Obligations</t>
  </si>
  <si>
    <t>CMO  - Collateralised Mortgage Oblligations</t>
  </si>
  <si>
    <t>Please Select</t>
  </si>
  <si>
    <t>#</t>
  </si>
  <si>
    <t>Deregistration/Revocation Reason To Be Confirmed</t>
  </si>
  <si>
    <t>ABS  - Aircraft - Asset Backed Securities</t>
  </si>
  <si>
    <t>Aircraft Lease Portfolio Securitisation</t>
  </si>
  <si>
    <t>Aircraft Enhanced Equipment Trust Certification</t>
  </si>
  <si>
    <t>Other Lease Securitisation</t>
  </si>
  <si>
    <t>Debt Security Issuer - Declaration</t>
  </si>
  <si>
    <t>FVC-Complete</t>
  </si>
  <si>
    <t>SPV-Complete</t>
  </si>
  <si>
    <t>Date dd/mm/yyyy</t>
  </si>
  <si>
    <t>Submission Date</t>
  </si>
  <si>
    <t>RegulatoryStatus.SubmissionDateTime</t>
  </si>
  <si>
    <t>spe_registration!$I$110</t>
  </si>
  <si>
    <t>spe_registration!$I$107</t>
  </si>
  <si>
    <t>XX - Please Select</t>
  </si>
  <si>
    <t>XXX - Please Select</t>
  </si>
  <si>
    <t>VehicleOriginatorReqFVC</t>
  </si>
  <si>
    <t>VehicleOriginatorReqSPV</t>
  </si>
  <si>
    <r>
      <t xml:space="preserve">Please list Originator(s) on </t>
    </r>
    <r>
      <rPr>
        <sz val="8"/>
        <color rgb="FFC00000"/>
        <rFont val="Tahoma"/>
        <family val="2"/>
      </rPr>
      <t>spe_originator</t>
    </r>
    <r>
      <rPr>
        <sz val="8"/>
        <color rgb="FF002060"/>
        <rFont val="Tahoma"/>
        <family val="2"/>
      </rPr>
      <t xml:space="preserve"> Tab. You may need to provide Originator(s) for chosen </t>
    </r>
    <r>
      <rPr>
        <sz val="8"/>
        <color rgb="FFC00000"/>
        <rFont val="Tahoma"/>
        <family val="2"/>
      </rPr>
      <t>Vehicle Activity</t>
    </r>
    <r>
      <rPr>
        <sz val="8"/>
        <color rgb="FF002060"/>
        <rFont val="Tahoma"/>
        <family val="2"/>
      </rPr>
      <t>.</t>
    </r>
  </si>
  <si>
    <t>Central Bank C-Code of XXX</t>
  </si>
  <si>
    <t>Reporting Agent is the same as the Corporate Services Provider</t>
  </si>
  <si>
    <t>Select Yes/No</t>
  </si>
  <si>
    <t>Select Currency</t>
  </si>
  <si>
    <t>spe_registration!$I$101</t>
  </si>
  <si>
    <t>spe_registration!$I$29</t>
  </si>
  <si>
    <t>spe_registration!$I$24</t>
  </si>
  <si>
    <t>spe_registration!$I$27</t>
  </si>
  <si>
    <t>spe_registration!$I$39</t>
  </si>
  <si>
    <t>spe_registration!$I$42</t>
  </si>
  <si>
    <t>spe_registration!$I$46</t>
  </si>
  <si>
    <t>spe_registration!$I$52</t>
  </si>
  <si>
    <t>spe_registration!$I$69</t>
  </si>
  <si>
    <t>spe_registration!$I$97</t>
  </si>
  <si>
    <t>Interlinkage.Future1</t>
  </si>
  <si>
    <t>Interlinkage.Future.1</t>
  </si>
  <si>
    <t>Vehicle CRO Code</t>
  </si>
  <si>
    <t>spe_registration!$I$79</t>
  </si>
  <si>
    <t>spe_registration!$I$81</t>
  </si>
  <si>
    <t>spe_db_interlinkages!$L$2:$L$106</t>
  </si>
  <si>
    <t>spe_db_interlinkages!$M$2:$M$106</t>
  </si>
  <si>
    <t>Accountancy Standard</t>
  </si>
  <si>
    <r>
      <rPr>
        <b/>
        <sz val="8"/>
        <color rgb="FFC00000"/>
        <rFont val="Tahoma"/>
        <family val="2"/>
      </rPr>
      <t>Q.1</t>
    </r>
    <r>
      <rPr>
        <sz val="8"/>
        <color rgb="FF0000FF"/>
        <rFont val="Tahoma"/>
        <family val="2"/>
      </rPr>
      <t xml:space="preserve"> Is the securitisation transaction subject to the requirements of the EU Securitisation Regulation (2017/2402), having regard for the transitional provisions set out in Article 43 of this regulation?</t>
    </r>
    <r>
      <rPr>
        <sz val="8"/>
        <color rgb="FF006600"/>
        <rFont val="Tahoma"/>
        <family val="2"/>
      </rPr>
      <t xml:space="preserve"> [Yes/No; if No then disregard questions 2-4] </t>
    </r>
  </si>
  <si>
    <r>
      <rPr>
        <b/>
        <sz val="8"/>
        <color rgb="FFC00000"/>
        <rFont val="Tahoma"/>
        <family val="2"/>
      </rPr>
      <t>Q.2</t>
    </r>
    <r>
      <rPr>
        <sz val="8"/>
        <color rgb="FF0000FF"/>
        <rFont val="Tahoma"/>
        <family val="2"/>
      </rPr>
      <t xml:space="preserve"> Is the securitisation transaction making use of the designation 'simple, transparent and standardised' (STS) securitisation, as defined by Article 18 of EU Securitisation Regulation (2017/2402)? </t>
    </r>
    <r>
      <rPr>
        <sz val="8"/>
        <color rgb="FF006600"/>
        <rFont val="Tahoma"/>
        <family val="2"/>
      </rPr>
      <t>[Yes/No]</t>
    </r>
  </si>
  <si>
    <r>
      <rPr>
        <b/>
        <sz val="8"/>
        <color rgb="FFC00000"/>
        <rFont val="Tahoma"/>
        <family val="2"/>
      </rPr>
      <t>Q.3</t>
    </r>
    <r>
      <rPr>
        <sz val="8"/>
        <color rgb="FF0000FF"/>
        <rFont val="Tahoma"/>
        <family val="2"/>
      </rPr>
      <t xml:space="preserve"> Please indicate if you have been designated to fulfil transparency requirements in line with Article 7(2) of the EU Securitisation Regulation (2017/2402). </t>
    </r>
    <r>
      <rPr>
        <sz val="8"/>
        <color rgb="FF006600"/>
        <rFont val="Tahoma"/>
        <family val="2"/>
      </rPr>
      <t>[Yes/No]</t>
    </r>
  </si>
  <si>
    <r>
      <rPr>
        <b/>
        <sz val="8"/>
        <color rgb="FFC00000"/>
        <rFont val="Tahoma"/>
        <family val="2"/>
      </rPr>
      <t>Q.4</t>
    </r>
    <r>
      <rPr>
        <sz val="8"/>
        <color rgb="FF0000FF"/>
        <rFont val="Tahoma"/>
        <family val="2"/>
      </rPr>
      <t xml:space="preserve"> Please provide relevant information, in accordance with regulation 6 of S.I. No. 656 of 2018, of the following entities as defined in the EU Securitisation Regulation (2017/2402):</t>
    </r>
  </si>
  <si>
    <t>ECB Securitisation Regulation [2017/2402]</t>
  </si>
  <si>
    <t>Question 1</t>
  </si>
  <si>
    <t>Question 2</t>
  </si>
  <si>
    <t>Question 3</t>
  </si>
  <si>
    <t>Institution.ECBRegulation.2017.2402.43</t>
  </si>
  <si>
    <t>Institution.ECBRegulation.2017.2402.18</t>
  </si>
  <si>
    <t>Institution.ECBRegulation.2017.2402.7.2</t>
  </si>
  <si>
    <t>Institution.ECBRegulation.2017.2402.2.3</t>
  </si>
  <si>
    <t>Institution.ECBRegulation.2017.2402.2.5</t>
  </si>
  <si>
    <r>
      <t xml:space="preserve">Question 4.1
</t>
    </r>
    <r>
      <rPr>
        <b/>
        <sz val="8"/>
        <color rgb="FF7030A0"/>
        <rFont val="Tahoma"/>
        <family val="2"/>
      </rPr>
      <t>- Originator (as defined in Article 2(3))</t>
    </r>
  </si>
  <si>
    <r>
      <t xml:space="preserve">Question 4.2
</t>
    </r>
    <r>
      <rPr>
        <b/>
        <sz val="8"/>
        <color rgb="FF7030A0"/>
        <rFont val="Tahoma"/>
        <family val="2"/>
      </rPr>
      <t>- Sponsor (as defined in Article 2(5))</t>
    </r>
  </si>
  <si>
    <t>Question 4.1</t>
  </si>
  <si>
    <t>Question 4.2</t>
  </si>
  <si>
    <t>spe_registration!$I$54</t>
  </si>
  <si>
    <t>spe_registration!$I$56</t>
  </si>
  <si>
    <t>spe_registration!$I$58</t>
  </si>
  <si>
    <t>StartDate</t>
  </si>
  <si>
    <t>spe_registration!$I$108</t>
  </si>
  <si>
    <t>spe_registration!$I$109</t>
  </si>
  <si>
    <t>spe_registration!$I$112</t>
  </si>
  <si>
    <t>spe_registration!$I$113</t>
  </si>
  <si>
    <t>spe_registration!$I$116</t>
  </si>
  <si>
    <t>spe_registration!$I$66</t>
  </si>
  <si>
    <t>spe_registration!$I$67</t>
  </si>
  <si>
    <t>spe_registration!$I$70</t>
  </si>
  <si>
    <t>spe_registration!$I$93</t>
  </si>
  <si>
    <t>spe_registration!$I$94</t>
  </si>
  <si>
    <t>spe_registration!$I$95</t>
  </si>
  <si>
    <t>spe_registration!$I$96</t>
  </si>
  <si>
    <t>spe_registration!$I$82</t>
  </si>
  <si>
    <t>spe_registration!$I$84</t>
  </si>
  <si>
    <t>spe_registration!$I$85</t>
  </si>
  <si>
    <t>spe_registration!$I$86</t>
  </si>
  <si>
    <t>SPE Registration Form Version</t>
  </si>
  <si>
    <t>SPE.RegistrationForm.Version</t>
  </si>
  <si>
    <t>spe-registration@centralbank.ie</t>
  </si>
  <si>
    <t>Please supply Legal Entity Indentifier for vehicle (if available) or leave blank if not.</t>
  </si>
  <si>
    <t>Operational Leasing</t>
  </si>
  <si>
    <t>Financial Leasing</t>
  </si>
  <si>
    <t>Exchange Traded Products</t>
  </si>
  <si>
    <t>Non-Performing Loans</t>
  </si>
  <si>
    <t>2022Q2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</si>
</sst>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dd/mm/yyyy;@"/>
    <numFmt numFmtId="165" formatCode="#,##0_ ;[Red]\-#,##0\ "/>
    <numFmt numFmtId="166" formatCode="dd\ mmm\ yyyy"/>
    <numFmt numFmtId="167" formatCode="0_ ;[Red]\-0\ "/>
    <numFmt numFmtId="168" formatCode="000000"/>
    <numFmt numFmtId="169" formatCode="0.0%"/>
  </numFmts>
  <fonts count="58" x14ac:knownFonts="1">
    <font>
      <sz val="11"/>
      <color theme="1"/>
      <name val="Times New Roman"/>
      <family val="2"/>
    </font>
    <font>
      <sz val="8"/>
      <color theme="1"/>
      <name val="Tahoma"/>
      <family val="2"/>
    </font>
    <font>
      <sz val="8"/>
      <color theme="1"/>
      <name val="Tahoma"/>
      <family val="2"/>
    </font>
    <font>
      <sz val="8"/>
      <color theme="1"/>
      <name val="Tahoma"/>
      <family val="2"/>
    </font>
    <font>
      <sz val="8"/>
      <color theme="1"/>
      <name val="Tahoma"/>
      <family val="2"/>
    </font>
    <font>
      <sz val="8"/>
      <color theme="1"/>
      <name val="Tahoma"/>
      <family val="2"/>
    </font>
    <font>
      <sz val="8"/>
      <color theme="1"/>
      <name val="Tahoma"/>
      <family val="2"/>
    </font>
    <font>
      <sz val="8"/>
      <color theme="1"/>
      <name val="Tahoma"/>
      <family val="2"/>
    </font>
    <font>
      <sz val="8"/>
      <color theme="1"/>
      <name val="Tahoma"/>
      <family val="2"/>
    </font>
    <font>
      <sz val="8"/>
      <color rgb="FFC00000"/>
      <name val="Tahoma"/>
      <family val="2"/>
    </font>
    <font>
      <sz val="8"/>
      <color rgb="FF0000FF"/>
      <name val="Tahoma"/>
      <family val="2"/>
    </font>
    <font>
      <sz val="8"/>
      <color rgb="FF006600"/>
      <name val="Consolas"/>
      <family val="3"/>
    </font>
    <font>
      <sz val="8"/>
      <color theme="1" tint="0.499984740745262"/>
      <name val="Tahoma"/>
      <family val="2"/>
    </font>
    <font>
      <sz val="8"/>
      <color theme="0" tint="-0.34998626667073579"/>
      <name val="Tahoma"/>
      <family val="2"/>
    </font>
    <font>
      <sz val="8"/>
      <color theme="1" tint="0.34998626667073579"/>
      <name val="Tahoma"/>
      <family val="2"/>
    </font>
    <font>
      <sz val="8"/>
      <color rgb="FF0000FF"/>
      <name val="Consolas"/>
      <family val="3"/>
    </font>
    <font>
      <sz val="8"/>
      <color rgb="FFC00000"/>
      <name val="Consolas"/>
      <family val="3"/>
    </font>
    <font>
      <sz val="8"/>
      <color theme="1"/>
      <name val="Consolas"/>
      <family val="3"/>
    </font>
    <font>
      <sz val="8"/>
      <color rgb="FF7030A0"/>
      <name val="Tahoma"/>
      <family val="2"/>
    </font>
    <font>
      <sz val="8"/>
      <color rgb="FF002060"/>
      <name val="Tahoma"/>
      <family val="2"/>
    </font>
    <font>
      <strike/>
      <sz val="8"/>
      <color theme="2" tint="-9.9978637043366805E-2"/>
      <name val="Tahoma"/>
      <family val="2"/>
    </font>
    <font>
      <sz val="8"/>
      <color rgb="FF006600"/>
      <name val="Tahoma"/>
      <family val="2"/>
    </font>
    <font>
      <b/>
      <sz val="8"/>
      <color theme="1"/>
      <name val="Tahoma"/>
      <family val="2"/>
    </font>
    <font>
      <sz val="8"/>
      <color theme="0"/>
      <name val="Tahoma"/>
      <family val="2"/>
    </font>
    <font>
      <b/>
      <sz val="8"/>
      <color rgb="FF7030A0"/>
      <name val="Tahoma"/>
      <family val="2"/>
    </font>
    <font>
      <sz val="8"/>
      <color theme="5" tint="-0.249977111117893"/>
      <name val="Tahoma"/>
      <family val="2"/>
    </font>
    <font>
      <sz val="8"/>
      <color rgb="FFFFFF00"/>
      <name val="Tahoma"/>
      <family val="2"/>
    </font>
    <font>
      <b/>
      <sz val="8"/>
      <color rgb="FFFFFF00"/>
      <name val="Tahoma"/>
      <family val="2"/>
    </font>
    <font>
      <sz val="8"/>
      <color theme="2" tint="-0.499984740745262"/>
      <name val="Tahoma"/>
      <family val="2"/>
    </font>
    <font>
      <sz val="8"/>
      <color rgb="FFFFFF00"/>
      <name val="Consolas"/>
      <family val="3"/>
    </font>
    <font>
      <sz val="8"/>
      <color rgb="FF002060"/>
      <name val="Consolas"/>
      <family val="3"/>
    </font>
    <font>
      <sz val="8"/>
      <color theme="1" tint="0.499984740745262"/>
      <name val="Consolas"/>
      <family val="3"/>
    </font>
    <font>
      <b/>
      <sz val="8"/>
      <color rgb="FF7030A0"/>
      <name val="Consolas"/>
      <family val="3"/>
    </font>
    <font>
      <sz val="8"/>
      <name val="Tahoma"/>
      <family val="2"/>
    </font>
    <font>
      <sz val="8"/>
      <color rgb="FF0070C0"/>
      <name val="Tahoma"/>
      <family val="2"/>
    </font>
    <font>
      <sz val="8"/>
      <name val="Consolas"/>
      <family val="3"/>
    </font>
    <font>
      <sz val="8"/>
      <color theme="4" tint="-0.249977111117893"/>
      <name val="Consolas"/>
      <family val="3"/>
    </font>
    <font>
      <sz val="8"/>
      <color theme="4" tint="0.79998168889431442"/>
      <name val="Consolas"/>
      <family val="3"/>
    </font>
    <font>
      <sz val="8"/>
      <color theme="0" tint="-0.499984740745262"/>
      <name val="Tahoma"/>
      <family val="2"/>
    </font>
    <font>
      <sz val="8"/>
      <name val="Consolas"/>
      <family val="3"/>
    </font>
    <font>
      <sz val="8"/>
      <color theme="4" tint="0.79998168889431442"/>
      <name val="Tahoma"/>
      <family val="2"/>
    </font>
    <font>
      <sz val="8"/>
      <color theme="8"/>
      <name val="Tahoma"/>
      <family val="2"/>
    </font>
    <font>
      <sz val="8"/>
      <color rgb="FF7030A0"/>
      <name val="Consolas"/>
      <family val="3"/>
    </font>
    <font>
      <sz val="8"/>
      <color theme="0"/>
      <name val="Consolas"/>
      <family val="3"/>
    </font>
    <font>
      <sz val="8"/>
      <color theme="5" tint="-0.499984740745262"/>
      <name val="Tahoma"/>
      <family val="2"/>
    </font>
    <font>
      <sz val="8"/>
      <color theme="9" tint="-0.249977111117893"/>
      <name val="Tahoma"/>
      <family val="2"/>
    </font>
    <font>
      <sz val="8"/>
      <name val="Consolas"/>
      <family val="3"/>
    </font>
    <font>
      <b/>
      <sz val="8"/>
      <color theme="0" tint="-0.499984740745262"/>
      <name val="Tahoma"/>
      <family val="2"/>
    </font>
    <font>
      <sz val="8"/>
      <color theme="9" tint="0.79998168889431442"/>
      <name val="Tahoma"/>
      <family val="2"/>
    </font>
    <font>
      <sz val="8"/>
      <color theme="7" tint="0.39997558519241921"/>
      <name val="Tahoma"/>
      <family val="2"/>
    </font>
    <font>
      <sz val="8"/>
      <color rgb="FFFFCCFF"/>
      <name val="Tahoma"/>
      <family val="2"/>
    </font>
    <font>
      <b/>
      <sz val="8"/>
      <color rgb="FFC00000"/>
      <name val="Tahoma"/>
      <family val="2"/>
    </font>
    <font>
      <b/>
      <sz val="8"/>
      <color rgb="FF0000FF"/>
      <name val="Tahoma"/>
      <family val="2"/>
    </font>
    <font>
      <b/>
      <sz val="8"/>
      <color rgb="FF002060"/>
      <name val="Tahoma"/>
      <family val="2"/>
    </font>
    <font>
      <b/>
      <sz val="8"/>
      <color theme="1" tint="0.499984740745262"/>
      <name val="Tahoma"/>
      <family val="2"/>
    </font>
    <font>
      <u/>
      <sz val="11"/>
      <color theme="10"/>
      <name val="Times New Roman"/>
      <family val="2"/>
    </font>
    <font>
      <u/>
      <sz val="8"/>
      <color theme="10"/>
      <name val="Tahoma"/>
      <family val="2"/>
    </font>
    <font>
      <sz val="8"/>
      <color rgb="FFFF0000"/>
      <name val="Consolas"/>
      <family val="3"/>
    </font>
  </fonts>
  <fills count="39">
    <fill>
      <patternFill patternType="none"/>
    </fill>
    <fill>
      <patternFill patternType="gray125"/>
    </fill>
    <fill>
      <patternFill patternType="solid">
        <fgColor rgb="FFFFC0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lightUp">
        <fgColor theme="0" tint="-0.14996795556505021"/>
        <bgColor theme="0" tint="-4.9989318521683403E-2"/>
      </patternFill>
    </fill>
    <fill>
      <patternFill patternType="solid">
        <fgColor theme="2"/>
        <bgColor indexed="64"/>
      </patternFill>
    </fill>
    <fill>
      <patternFill patternType="solid">
        <fgColor theme="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7030A0"/>
        <bgColor indexed="64"/>
      </patternFill>
    </fill>
    <fill>
      <patternFill patternType="solid">
        <fgColor rgb="FFFFCCF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FFCC"/>
        <bgColor indexed="64"/>
      </patternFill>
    </fill>
    <fill>
      <patternFill patternType="lightUp">
        <fgColor theme="5"/>
        <bgColor theme="0" tint="-0.14993743705557422"/>
      </patternFill>
    </fill>
    <fill>
      <patternFill patternType="solid">
        <fgColor rgb="FF002060"/>
        <bgColor indexed="64"/>
      </patternFill>
    </fill>
    <fill>
      <patternFill patternType="solid">
        <fgColor theme="1"/>
        <bgColor indexed="64"/>
      </patternFill>
    </fill>
    <fill>
      <patternFill patternType="solid">
        <fgColor theme="8" tint="0.79998168889431442"/>
        <bgColor indexed="64"/>
      </patternFill>
    </fill>
    <fill>
      <patternFill patternType="solid">
        <fgColor theme="8"/>
        <bgColor indexed="64"/>
      </patternFill>
    </fill>
    <fill>
      <patternFill patternType="lightUp">
        <fgColor theme="0" tint="-0.14996795556505021"/>
        <bgColor indexed="65"/>
      </patternFill>
    </fill>
    <fill>
      <patternFill patternType="mediumGray">
        <fgColor theme="9" tint="0.79995117038483843"/>
        <bgColor theme="0"/>
      </patternFill>
    </fill>
    <fill>
      <patternFill patternType="mediumGray">
        <fgColor theme="8" tint="0.79998168889431442"/>
        <bgColor theme="0"/>
      </patternFill>
    </fill>
    <fill>
      <patternFill patternType="mediumGray">
        <fgColor theme="9" tint="0.79998168889431442"/>
        <bgColor theme="0"/>
      </patternFill>
    </fill>
    <fill>
      <patternFill patternType="mediumGray">
        <fgColor theme="5" tint="0.79998168889431442"/>
        <bgColor theme="0"/>
      </patternFill>
    </fill>
    <fill>
      <patternFill patternType="mediumGray">
        <fgColor rgb="FFFFFFCC"/>
        <bgColor theme="0"/>
      </patternFill>
    </fill>
    <fill>
      <patternFill patternType="mediumGray">
        <fgColor rgb="FFFFCCFF"/>
        <bgColor theme="0"/>
      </patternFill>
    </fill>
    <fill>
      <patternFill patternType="solid">
        <fgColor theme="0"/>
        <bgColor rgb="FFFFCCFF"/>
      </patternFill>
    </fill>
    <fill>
      <patternFill patternType="solid">
        <fgColor theme="0"/>
        <bgColor theme="9" tint="0.79998168889431442"/>
      </patternFill>
    </fill>
    <fill>
      <patternFill patternType="solid">
        <fgColor theme="0"/>
        <bgColor theme="5" tint="0.79998168889431442"/>
      </patternFill>
    </fill>
    <fill>
      <patternFill patternType="solid">
        <fgColor theme="0"/>
        <bgColor rgb="FFFFFFCC"/>
      </patternFill>
    </fill>
    <fill>
      <patternFill patternType="solid">
        <fgColor theme="0"/>
        <bgColor theme="8" tint="0.79998168889431442"/>
      </patternFill>
    </fill>
    <fill>
      <patternFill patternType="solid">
        <fgColor theme="7" tint="0.79998168889431442"/>
        <bgColor indexed="64"/>
      </patternFill>
    </fill>
    <fill>
      <patternFill patternType="solid">
        <fgColor theme="6" tint="0.79998168889431442"/>
        <bgColor indexed="64"/>
      </patternFill>
    </fill>
    <fill>
      <patternFill patternType="solid">
        <fgColor rgb="FF006600"/>
        <bgColor indexed="64"/>
      </patternFill>
    </fill>
    <fill>
      <patternFill patternType="lightUp">
        <fgColor theme="9"/>
        <bgColor theme="0" tint="-4.9989318521683403E-2"/>
      </patternFill>
    </fill>
    <fill>
      <patternFill patternType="solid">
        <fgColor rgb="FFFFFF00"/>
        <bgColor indexed="64"/>
      </patternFill>
    </fill>
  </fills>
  <borders count="81">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double">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theme="0" tint="-0.24994659260841701"/>
      </top>
      <bottom style="thin">
        <color theme="0" tint="-0.24994659260841701"/>
      </bottom>
      <diagonal/>
    </border>
    <border>
      <left/>
      <right/>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double">
        <color theme="0" tint="-0.24994659260841701"/>
      </right>
      <top/>
      <bottom style="thin">
        <color theme="0" tint="-0.24994659260841701"/>
      </bottom>
      <diagonal/>
    </border>
    <border>
      <left/>
      <right style="thin">
        <color theme="0" tint="-0.24994659260841701"/>
      </right>
      <top style="thin">
        <color theme="0" tint="-0.24994659260841701"/>
      </top>
      <bottom style="thick">
        <color theme="0" tint="-0.24994659260841701"/>
      </bottom>
      <diagonal/>
    </border>
    <border>
      <left style="thin">
        <color theme="0" tint="-0.24994659260841701"/>
      </left>
      <right style="thin">
        <color theme="0" tint="-0.24994659260841701"/>
      </right>
      <top style="thin">
        <color theme="0" tint="-0.24994659260841701"/>
      </top>
      <bottom style="thick">
        <color theme="0" tint="-0.24994659260841701"/>
      </bottom>
      <diagonal/>
    </border>
    <border>
      <left style="thin">
        <color theme="0" tint="-0.24994659260841701"/>
      </left>
      <right/>
      <top style="thin">
        <color theme="0" tint="-0.24994659260841701"/>
      </top>
      <bottom style="thick">
        <color theme="0" tint="-0.24994659260841701"/>
      </bottom>
      <diagonal/>
    </border>
    <border>
      <left style="thin">
        <color theme="0" tint="-0.24994659260841701"/>
      </left>
      <right style="double">
        <color theme="0" tint="-0.24994659260841701"/>
      </right>
      <top style="thin">
        <color theme="0" tint="-0.24994659260841701"/>
      </top>
      <bottom style="thick">
        <color theme="0" tint="-0.24994659260841701"/>
      </bottom>
      <diagonal/>
    </border>
    <border>
      <left style="thin">
        <color theme="0" tint="-0.24994659260841701"/>
      </left>
      <right/>
      <top style="thin">
        <color theme="0" tint="-0.24994659260841701"/>
      </top>
      <bottom style="thin">
        <color theme="1"/>
      </bottom>
      <diagonal/>
    </border>
    <border>
      <left style="thin">
        <color theme="0" tint="-0.24994659260841701"/>
      </left>
      <right style="thin">
        <color theme="0" tint="-0.24994659260841701"/>
      </right>
      <top style="thin">
        <color theme="0" tint="-0.24994659260841701"/>
      </top>
      <bottom style="thin">
        <color theme="1"/>
      </bottom>
      <diagonal/>
    </border>
    <border>
      <left style="thin">
        <color theme="0" tint="-0.24994659260841701"/>
      </left>
      <right/>
      <top style="thin">
        <color theme="0" tint="-0.24994659260841701"/>
      </top>
      <bottom style="thin">
        <color indexed="64"/>
      </bottom>
      <diagonal/>
    </border>
    <border>
      <left/>
      <right style="thin">
        <color theme="0" tint="-0.24994659260841701"/>
      </right>
      <top/>
      <bottom style="thin">
        <color theme="0" tint="-0.499984740745262"/>
      </bottom>
      <diagonal/>
    </border>
    <border>
      <left/>
      <right style="thin">
        <color theme="0" tint="-0.24994659260841701"/>
      </right>
      <top style="thin">
        <color theme="0" tint="-0.499984740745262"/>
      </top>
      <bottom/>
      <diagonal/>
    </border>
    <border>
      <left/>
      <right style="thin">
        <color theme="0" tint="-0.499984740745262"/>
      </right>
      <top style="thin">
        <color theme="0" tint="-0.499984740745262"/>
      </top>
      <bottom/>
      <diagonal/>
    </border>
    <border>
      <left/>
      <right style="thin">
        <color theme="0" tint="-0.499984740745262"/>
      </right>
      <top/>
      <bottom/>
      <diagonal/>
    </border>
    <border>
      <left/>
      <right style="thin">
        <color theme="0" tint="-0.499984740745262"/>
      </right>
      <top/>
      <bottom style="thin">
        <color theme="0" tint="-0.499984740745262"/>
      </bottom>
      <diagonal/>
    </border>
    <border>
      <left style="thin">
        <color theme="0" tint="-0.24994659260841701"/>
      </left>
      <right/>
      <top style="thin">
        <color indexed="64"/>
      </top>
      <bottom style="thin">
        <color indexed="64"/>
      </bottom>
      <diagonal/>
    </border>
    <border>
      <left style="thin">
        <color theme="0" tint="-0.24994659260841701"/>
      </left>
      <right style="thin">
        <color theme="0" tint="-0.24994659260841701"/>
      </right>
      <top style="thin">
        <color indexed="64"/>
      </top>
      <bottom style="thin">
        <color indexed="64"/>
      </bottom>
      <diagonal/>
    </border>
    <border>
      <left style="thin">
        <color theme="0" tint="-0.24994659260841701"/>
      </left>
      <right/>
      <top style="thin">
        <color theme="0" tint="-0.24994659260841701"/>
      </top>
      <bottom style="thin">
        <color theme="0" tint="-0.499984740745262"/>
      </bottom>
      <diagonal/>
    </border>
    <border>
      <left style="thin">
        <color theme="0" tint="-0.24994659260841701"/>
      </left>
      <right/>
      <top/>
      <bottom style="thin">
        <color indexed="64"/>
      </bottom>
      <diagonal/>
    </border>
    <border>
      <left style="thin">
        <color theme="0" tint="-0.24994659260841701"/>
      </left>
      <right/>
      <top/>
      <bottom style="thin">
        <color theme="0" tint="-0.499984740745262"/>
      </bottom>
      <diagonal/>
    </border>
    <border>
      <left/>
      <right style="thin">
        <color theme="0" tint="-0.24994659260841701"/>
      </right>
      <top/>
      <bottom/>
      <diagonal/>
    </border>
    <border>
      <left/>
      <right style="thin">
        <color theme="0" tint="-0.499984740745262"/>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theme="0" tint="-0.499984740745262"/>
      </right>
      <top style="thin">
        <color indexed="64"/>
      </top>
      <bottom style="thin">
        <color indexed="64"/>
      </bottom>
      <diagonal/>
    </border>
    <border>
      <left style="thin">
        <color theme="0" tint="-0.24994659260841701"/>
      </left>
      <right style="thin">
        <color theme="0" tint="-0.24994659260841701"/>
      </right>
      <top style="thin">
        <color theme="0" tint="-0.24994659260841701"/>
      </top>
      <bottom/>
      <diagonal/>
    </border>
    <border>
      <left style="thin">
        <color theme="1"/>
      </left>
      <right style="thin">
        <color theme="1"/>
      </right>
      <top style="thin">
        <color theme="1"/>
      </top>
      <bottom style="thin">
        <color theme="1"/>
      </bottom>
      <diagonal/>
    </border>
    <border>
      <left style="thin">
        <color theme="1"/>
      </left>
      <right style="thin">
        <color theme="0" tint="-0.24994659260841701"/>
      </right>
      <top style="thin">
        <color theme="1"/>
      </top>
      <bottom style="thin">
        <color theme="1"/>
      </bottom>
      <diagonal/>
    </border>
    <border>
      <left style="thin">
        <color theme="0" tint="-0.24994659260841701"/>
      </left>
      <right style="thin">
        <color theme="0" tint="-0.24994659260841701"/>
      </right>
      <top style="thin">
        <color theme="1"/>
      </top>
      <bottom style="thin">
        <color theme="1"/>
      </bottom>
      <diagonal/>
    </border>
    <border>
      <left style="thin">
        <color theme="0" tint="-0.24994659260841701"/>
      </left>
      <right style="thin">
        <color theme="1"/>
      </right>
      <top style="thin">
        <color theme="1"/>
      </top>
      <bottom style="thin">
        <color theme="1"/>
      </bottom>
      <diagonal/>
    </border>
    <border>
      <left style="thin">
        <color theme="1"/>
      </left>
      <right style="thin">
        <color theme="1"/>
      </right>
      <top style="thin">
        <color theme="0" tint="-0.24994659260841701"/>
      </top>
      <bottom style="thin">
        <color theme="0" tint="-0.499984740745262"/>
      </bottom>
      <diagonal/>
    </border>
    <border>
      <left style="thin">
        <color theme="1"/>
      </left>
      <right style="thin">
        <color theme="1"/>
      </right>
      <top style="thin">
        <color theme="0" tint="-0.24994659260841701"/>
      </top>
      <bottom style="thin">
        <color indexed="64"/>
      </bottom>
      <diagonal/>
    </border>
    <border>
      <left style="thin">
        <color theme="1"/>
      </left>
      <right style="thin">
        <color theme="1"/>
      </right>
      <top/>
      <bottom style="thin">
        <color theme="0" tint="-0.24994659260841701"/>
      </bottom>
      <diagonal/>
    </border>
    <border>
      <left style="thin">
        <color theme="1"/>
      </left>
      <right style="thin">
        <color theme="1"/>
      </right>
      <top style="thin">
        <color theme="0" tint="-0.24994659260841701"/>
      </top>
      <bottom style="thin">
        <color theme="0" tint="-0.24994659260841701"/>
      </bottom>
      <diagonal/>
    </border>
    <border>
      <left style="thin">
        <color theme="1"/>
      </left>
      <right style="thin">
        <color theme="1"/>
      </right>
      <top/>
      <bottom style="thin">
        <color theme="0" tint="-0.499984740745262"/>
      </bottom>
      <diagonal/>
    </border>
    <border>
      <left style="thin">
        <color theme="1"/>
      </left>
      <right style="thin">
        <color theme="1"/>
      </right>
      <top style="thin">
        <color theme="1"/>
      </top>
      <bottom style="thin">
        <color indexed="64"/>
      </bottom>
      <diagonal/>
    </border>
    <border>
      <left style="thin">
        <color theme="1"/>
      </left>
      <right style="thin">
        <color theme="1"/>
      </right>
      <top style="thin">
        <color theme="0" tint="-0.24994659260841701"/>
      </top>
      <bottom style="thin">
        <color theme="1"/>
      </bottom>
      <diagonal/>
    </border>
    <border>
      <left/>
      <right/>
      <top style="thin">
        <color theme="0" tint="-0.24994659260841701"/>
      </top>
      <bottom style="thin">
        <color theme="0" tint="-0.499984740745262"/>
      </bottom>
      <diagonal/>
    </border>
    <border>
      <left/>
      <right style="thin">
        <color theme="1"/>
      </right>
      <top style="thin">
        <color theme="1"/>
      </top>
      <bottom style="thin">
        <color indexed="64"/>
      </bottom>
      <diagonal/>
    </border>
    <border>
      <left/>
      <right style="thin">
        <color theme="1"/>
      </right>
      <top/>
      <bottom style="thin">
        <color theme="0" tint="-0.24994659260841701"/>
      </bottom>
      <diagonal/>
    </border>
    <border>
      <left/>
      <right style="thin">
        <color theme="1"/>
      </right>
      <top style="thin">
        <color theme="0" tint="-0.24994659260841701"/>
      </top>
      <bottom style="thin">
        <color theme="0" tint="-0.24994659260841701"/>
      </bottom>
      <diagonal/>
    </border>
    <border>
      <left/>
      <right style="thin">
        <color theme="1"/>
      </right>
      <top style="thin">
        <color theme="0" tint="-0.24994659260841701"/>
      </top>
      <bottom style="thin">
        <color theme="0" tint="-0.499984740745262"/>
      </bottom>
      <diagonal/>
    </border>
    <border>
      <left style="thin">
        <color theme="1"/>
      </left>
      <right/>
      <top style="thin">
        <color theme="1"/>
      </top>
      <bottom style="thin">
        <color indexed="64"/>
      </bottom>
      <diagonal/>
    </border>
    <border>
      <left style="thin">
        <color theme="1"/>
      </left>
      <right/>
      <top/>
      <bottom style="thin">
        <color theme="0" tint="-0.24994659260841701"/>
      </bottom>
      <diagonal/>
    </border>
    <border>
      <left style="thin">
        <color theme="1"/>
      </left>
      <right/>
      <top style="thin">
        <color theme="0" tint="-0.24994659260841701"/>
      </top>
      <bottom style="thin">
        <color theme="0" tint="-0.24994659260841701"/>
      </bottom>
      <diagonal/>
    </border>
    <border>
      <left style="thin">
        <color theme="1"/>
      </left>
      <right/>
      <top style="thin">
        <color theme="0" tint="-0.24994659260841701"/>
      </top>
      <bottom style="thin">
        <color theme="0" tint="-0.499984740745262"/>
      </bottom>
      <diagonal/>
    </border>
    <border>
      <left/>
      <right/>
      <top style="thin">
        <color theme="1"/>
      </top>
      <bottom style="thin">
        <color indexed="64"/>
      </bottom>
      <diagonal/>
    </border>
    <border>
      <left style="thin">
        <color theme="1"/>
      </left>
      <right/>
      <top style="thin">
        <color theme="0" tint="-0.24994659260841701"/>
      </top>
      <bottom style="thin">
        <color indexed="64"/>
      </bottom>
      <diagonal/>
    </border>
    <border>
      <left/>
      <right style="thin">
        <color theme="1"/>
      </right>
      <top style="thin">
        <color theme="0" tint="-0.24994659260841701"/>
      </top>
      <bottom style="thin">
        <color indexed="64"/>
      </bottom>
      <diagonal/>
    </border>
    <border>
      <left/>
      <right/>
      <top style="thin">
        <color theme="0" tint="-0.24994659260841701"/>
      </top>
      <bottom style="thin">
        <color indexed="64"/>
      </bottom>
      <diagonal/>
    </border>
    <border>
      <left style="thin">
        <color indexed="64"/>
      </left>
      <right style="thin">
        <color theme="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1"/>
      </right>
      <top style="thin">
        <color theme="0" tint="-0.24994659260841701"/>
      </top>
      <bottom style="thin">
        <color indexed="64"/>
      </bottom>
      <diagonal/>
    </border>
    <border>
      <left style="thin">
        <color theme="0" tint="-0.24994659260841701"/>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thin">
        <color theme="1"/>
      </right>
      <top/>
      <bottom style="thin">
        <color indexed="64"/>
      </bottom>
      <diagonal/>
    </border>
    <border>
      <left style="thin">
        <color theme="1"/>
      </left>
      <right/>
      <top/>
      <bottom style="thin">
        <color indexed="64"/>
      </bottom>
      <diagonal/>
    </border>
    <border>
      <left/>
      <right style="thin">
        <color theme="1"/>
      </right>
      <top/>
      <bottom style="thin">
        <color indexed="64"/>
      </bottom>
      <diagonal/>
    </border>
    <border>
      <left style="thin">
        <color theme="1"/>
      </left>
      <right style="thin">
        <color theme="1"/>
      </right>
      <top style="thin">
        <color theme="1"/>
      </top>
      <bottom style="thin">
        <color theme="0" tint="-0.24994659260841701"/>
      </bottom>
      <diagonal/>
    </border>
    <border>
      <left style="thin">
        <color theme="0" tint="-0.24994659260841701"/>
      </left>
      <right style="thin">
        <color theme="1"/>
      </right>
      <top style="thin">
        <color theme="0" tint="-0.24994659260841701"/>
      </top>
      <bottom style="thin">
        <color theme="0" tint="-0.24994659260841701"/>
      </bottom>
      <diagonal/>
    </border>
    <border>
      <left style="thin">
        <color theme="0" tint="-0.34998626667073579"/>
      </left>
      <right/>
      <top style="thin">
        <color theme="0" tint="-0.34998626667073579"/>
      </top>
      <bottom style="thin">
        <color theme="0" tint="-0.34998626667073579"/>
      </bottom>
      <diagonal/>
    </border>
    <border>
      <left/>
      <right style="thin">
        <color theme="1"/>
      </right>
      <top style="thin">
        <color theme="0" tint="-0.24994659260841701"/>
      </top>
      <bottom/>
      <diagonal/>
    </border>
    <border>
      <left style="thin">
        <color theme="1"/>
      </left>
      <right/>
      <top/>
      <bottom style="thin">
        <color theme="0" tint="-0.499984740745262"/>
      </bottom>
      <diagonal/>
    </border>
    <border>
      <left/>
      <right/>
      <top/>
      <bottom style="thin">
        <color theme="0" tint="-0.499984740745262"/>
      </bottom>
      <diagonal/>
    </border>
    <border>
      <left/>
      <right style="thin">
        <color theme="1"/>
      </right>
      <top/>
      <bottom style="thin">
        <color theme="0" tint="-0.499984740745262"/>
      </bottom>
      <diagonal/>
    </border>
    <border>
      <left style="thin">
        <color theme="0" tint="-0.24994659260841701"/>
      </left>
      <right style="thin">
        <color theme="1"/>
      </right>
      <top/>
      <bottom style="thin">
        <color indexed="64"/>
      </bottom>
      <diagonal/>
    </border>
    <border>
      <left style="thin">
        <color theme="0" tint="-0.24994659260841701"/>
      </left>
      <right/>
      <top style="thin">
        <color theme="1"/>
      </top>
      <bottom style="thin">
        <color theme="1"/>
      </bottom>
      <diagonal/>
    </border>
  </borders>
  <cellStyleXfs count="2">
    <xf numFmtId="0" fontId="0" fillId="0" borderId="0"/>
    <xf numFmtId="0" fontId="55" fillId="0" borderId="0" applyNumberFormat="0" applyFill="0" applyBorder="0" applyAlignment="0" applyProtection="0"/>
  </cellStyleXfs>
  <cellXfs count="564">
    <xf numFmtId="0" fontId="0" fillId="0" borderId="0" xfId="0"/>
    <xf numFmtId="0" fontId="8" fillId="4" borderId="1"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164" fontId="12" fillId="5" borderId="1" xfId="0" applyNumberFormat="1" applyFont="1" applyFill="1" applyBorder="1" applyAlignment="1" applyProtection="1">
      <alignment horizontal="center" vertical="center"/>
    </xf>
    <xf numFmtId="0" fontId="13" fillId="5" borderId="1" xfId="0" applyFont="1" applyFill="1" applyBorder="1" applyAlignment="1" applyProtection="1">
      <alignment horizontal="right" vertical="center" indent="3"/>
    </xf>
    <xf numFmtId="0" fontId="14" fillId="5" borderId="1" xfId="0" applyFont="1" applyFill="1" applyBorder="1" applyAlignment="1" applyProtection="1">
      <alignment horizontal="center" vertical="center"/>
    </xf>
    <xf numFmtId="0" fontId="7" fillId="0" borderId="0" xfId="0" applyFont="1" applyAlignment="1">
      <alignment horizontal="left" vertical="center"/>
    </xf>
    <xf numFmtId="0" fontId="6" fillId="2" borderId="1" xfId="0" applyFont="1" applyFill="1" applyBorder="1" applyAlignment="1">
      <alignment horizontal="left" vertical="center"/>
    </xf>
    <xf numFmtId="0" fontId="10" fillId="10" borderId="1" xfId="0" applyFont="1" applyFill="1" applyBorder="1" applyAlignment="1">
      <alignment horizontal="left" vertical="center"/>
    </xf>
    <xf numFmtId="0" fontId="12" fillId="7" borderId="0" xfId="0" applyFont="1" applyFill="1" applyAlignment="1">
      <alignment horizontal="left" vertical="center"/>
    </xf>
    <xf numFmtId="0" fontId="15" fillId="0" borderId="1" xfId="0" applyFont="1" applyBorder="1" applyAlignment="1">
      <alignment horizontal="left" vertical="center"/>
    </xf>
    <xf numFmtId="0" fontId="15" fillId="0" borderId="0" xfId="0" applyFont="1" applyAlignment="1">
      <alignment horizontal="left" vertical="center"/>
    </xf>
    <xf numFmtId="0" fontId="16" fillId="0" borderId="1" xfId="0" applyFont="1" applyBorder="1" applyAlignment="1">
      <alignment horizontal="left" vertical="center"/>
    </xf>
    <xf numFmtId="0" fontId="15" fillId="5" borderId="1" xfId="0" applyFont="1" applyFill="1" applyBorder="1" applyAlignment="1">
      <alignment horizontal="left" vertical="center"/>
    </xf>
    <xf numFmtId="0" fontId="15" fillId="0" borderId="1" xfId="0" applyFont="1" applyFill="1" applyBorder="1" applyAlignment="1">
      <alignment horizontal="left" vertical="center"/>
    </xf>
    <xf numFmtId="0" fontId="11" fillId="0" borderId="1" xfId="0" applyFont="1" applyBorder="1" applyAlignment="1">
      <alignment horizontal="left" vertical="center"/>
    </xf>
    <xf numFmtId="0" fontId="10" fillId="9" borderId="1" xfId="0" applyFont="1" applyFill="1" applyBorder="1" applyAlignment="1">
      <alignment horizontal="left" vertical="center"/>
    </xf>
    <xf numFmtId="0" fontId="10" fillId="9" borderId="1" xfId="0" applyFont="1" applyFill="1" applyBorder="1" applyAlignment="1">
      <alignment horizontal="center" vertical="center"/>
    </xf>
    <xf numFmtId="0" fontId="15" fillId="0" borderId="1" xfId="0" applyFont="1" applyBorder="1" applyAlignment="1">
      <alignment horizontal="center" vertical="center"/>
    </xf>
    <xf numFmtId="0" fontId="7" fillId="0" borderId="0" xfId="0" applyFont="1" applyAlignment="1">
      <alignment horizontal="center" vertical="center"/>
    </xf>
    <xf numFmtId="164" fontId="15" fillId="5" borderId="1" xfId="0" applyNumberFormat="1" applyFont="1" applyFill="1" applyBorder="1" applyAlignment="1" applyProtection="1">
      <alignment horizontal="center" vertical="center"/>
    </xf>
    <xf numFmtId="0" fontId="15" fillId="5" borderId="1" xfId="0" applyFont="1" applyFill="1" applyBorder="1" applyAlignment="1" applyProtection="1">
      <alignment horizontal="center" vertical="center"/>
    </xf>
    <xf numFmtId="164" fontId="16" fillId="5" borderId="1" xfId="0" applyNumberFormat="1" applyFont="1" applyFill="1" applyBorder="1" applyAlignment="1" applyProtection="1">
      <alignment horizontal="center" vertical="center"/>
    </xf>
    <xf numFmtId="0" fontId="16" fillId="5" borderId="1" xfId="0" applyFont="1" applyFill="1" applyBorder="1" applyAlignment="1" applyProtection="1">
      <alignment horizontal="center" vertical="center"/>
    </xf>
    <xf numFmtId="164" fontId="11" fillId="5" borderId="1" xfId="0" applyNumberFormat="1" applyFont="1" applyFill="1" applyBorder="1" applyAlignment="1" applyProtection="1">
      <alignment horizontal="center" vertical="center"/>
    </xf>
    <xf numFmtId="0" fontId="11" fillId="5" borderId="1" xfId="0" applyFont="1" applyFill="1" applyBorder="1" applyAlignment="1" applyProtection="1">
      <alignment horizontal="center" vertical="center"/>
    </xf>
    <xf numFmtId="0" fontId="20" fillId="6" borderId="1" xfId="0" applyFont="1" applyFill="1" applyBorder="1" applyAlignment="1" applyProtection="1">
      <alignment horizontal="center" vertical="center"/>
    </xf>
    <xf numFmtId="0" fontId="17" fillId="5" borderId="1" xfId="0" applyFont="1" applyFill="1" applyBorder="1" applyAlignment="1">
      <alignment horizontal="left" vertical="center"/>
    </xf>
    <xf numFmtId="0" fontId="15" fillId="4" borderId="1" xfId="0" applyFont="1" applyFill="1" applyBorder="1" applyAlignment="1">
      <alignment horizontal="left" vertical="center"/>
    </xf>
    <xf numFmtId="0" fontId="16" fillId="3" borderId="1" xfId="0" applyFont="1" applyFill="1" applyBorder="1" applyAlignment="1">
      <alignment horizontal="left" vertical="center"/>
    </xf>
    <xf numFmtId="0" fontId="5" fillId="4" borderId="2" xfId="0" applyFont="1"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0" fillId="0" borderId="0" xfId="0" applyFont="1" applyFill="1" applyAlignment="1">
      <alignment horizontal="left" vertical="center"/>
    </xf>
    <xf numFmtId="0" fontId="15" fillId="5" borderId="0" xfId="0" applyFont="1" applyFill="1" applyBorder="1" applyAlignment="1">
      <alignment horizontal="left" vertical="center"/>
    </xf>
    <xf numFmtId="0" fontId="11" fillId="0" borderId="1" xfId="0" applyFont="1" applyBorder="1" applyAlignment="1">
      <alignment horizontal="center" vertical="center"/>
    </xf>
    <xf numFmtId="0" fontId="15" fillId="0" borderId="1" xfId="0" applyFont="1" applyBorder="1" applyAlignment="1">
      <alignment horizontal="left" vertical="center" wrapText="1"/>
    </xf>
    <xf numFmtId="0" fontId="34" fillId="20" borderId="1" xfId="0" applyFont="1" applyFill="1" applyBorder="1" applyAlignment="1">
      <alignment horizontal="left" vertical="center"/>
    </xf>
    <xf numFmtId="0" fontId="13" fillId="15" borderId="0" xfId="0" applyFont="1" applyFill="1" applyBorder="1" applyAlignment="1" applyProtection="1">
      <alignment vertical="center"/>
    </xf>
    <xf numFmtId="0" fontId="13" fillId="5" borderId="5" xfId="0" applyFont="1" applyFill="1" applyBorder="1" applyAlignment="1" applyProtection="1">
      <alignment horizontal="left" vertical="center"/>
    </xf>
    <xf numFmtId="0" fontId="11" fillId="3" borderId="1" xfId="0" applyFont="1" applyFill="1" applyBorder="1" applyAlignment="1">
      <alignment horizontal="left" vertical="center" wrapText="1"/>
    </xf>
    <xf numFmtId="0" fontId="10" fillId="20" borderId="3" xfId="0" applyFont="1" applyFill="1" applyBorder="1" applyAlignment="1" applyProtection="1">
      <alignment vertical="center"/>
    </xf>
    <xf numFmtId="0" fontId="19" fillId="5" borderId="3" xfId="0" applyFont="1" applyFill="1" applyBorder="1" applyAlignment="1" applyProtection="1">
      <alignment vertical="center"/>
    </xf>
    <xf numFmtId="0" fontId="16" fillId="0" borderId="1" xfId="0" applyFont="1" applyBorder="1" applyAlignment="1" applyProtection="1">
      <alignment horizontal="left" vertical="center"/>
      <protection locked="0"/>
    </xf>
    <xf numFmtId="0" fontId="8" fillId="0" borderId="0" xfId="0" applyFont="1" applyAlignment="1" applyProtection="1">
      <alignment vertical="center"/>
    </xf>
    <xf numFmtId="0" fontId="33" fillId="0" borderId="0" xfId="0" applyFont="1" applyFill="1" applyAlignment="1">
      <alignment horizontal="left" vertical="center"/>
    </xf>
    <xf numFmtId="0" fontId="33" fillId="0" borderId="7" xfId="0" applyFont="1" applyFill="1" applyBorder="1" applyAlignment="1">
      <alignment horizontal="left" vertical="center"/>
    </xf>
    <xf numFmtId="0" fontId="33" fillId="0" borderId="0" xfId="0" applyFont="1" applyFill="1" applyBorder="1" applyAlignment="1">
      <alignment horizontal="center" vertical="center"/>
    </xf>
    <xf numFmtId="0" fontId="35" fillId="0" borderId="6" xfId="0" applyFont="1" applyFill="1" applyBorder="1" applyAlignment="1">
      <alignment horizontal="left" vertical="center"/>
    </xf>
    <xf numFmtId="0" fontId="35" fillId="0" borderId="0" xfId="0" applyFont="1" applyFill="1" applyBorder="1" applyAlignment="1">
      <alignment horizontal="left" vertical="center"/>
    </xf>
    <xf numFmtId="0" fontId="35" fillId="0" borderId="8" xfId="0" applyFont="1" applyFill="1" applyBorder="1" applyAlignment="1">
      <alignment horizontal="left" vertical="center"/>
    </xf>
    <xf numFmtId="0" fontId="23" fillId="0" borderId="7" xfId="0" applyFont="1" applyFill="1" applyBorder="1" applyAlignment="1">
      <alignment horizontal="center" vertical="center"/>
    </xf>
    <xf numFmtId="0" fontId="38" fillId="6" borderId="1" xfId="0" applyFont="1" applyFill="1" applyBorder="1" applyAlignment="1" applyProtection="1">
      <alignment horizontal="center" vertical="center"/>
    </xf>
    <xf numFmtId="0" fontId="9" fillId="5" borderId="2" xfId="0" applyFont="1" applyFill="1" applyBorder="1" applyProtection="1"/>
    <xf numFmtId="0" fontId="0" fillId="0" borderId="0" xfId="0" applyAlignment="1">
      <alignment vertical="center"/>
    </xf>
    <xf numFmtId="0" fontId="9" fillId="5" borderId="1" xfId="0" applyFont="1" applyFill="1" applyBorder="1" applyAlignment="1" applyProtection="1">
      <alignment vertical="center"/>
    </xf>
    <xf numFmtId="169" fontId="38" fillId="5" borderId="3" xfId="0" applyNumberFormat="1" applyFont="1" applyFill="1" applyBorder="1" applyAlignment="1" applyProtection="1">
      <alignment horizontal="center"/>
    </xf>
    <xf numFmtId="0" fontId="9" fillId="5" borderId="2" xfId="0" applyFont="1" applyFill="1" applyBorder="1" applyAlignment="1" applyProtection="1">
      <alignment vertical="center"/>
    </xf>
    <xf numFmtId="169" fontId="38" fillId="5" borderId="3" xfId="0" applyNumberFormat="1" applyFont="1" applyFill="1" applyBorder="1" applyAlignment="1" applyProtection="1">
      <alignment horizontal="center" vertical="center"/>
    </xf>
    <xf numFmtId="0" fontId="28" fillId="7" borderId="5" xfId="0" applyFont="1" applyFill="1" applyBorder="1" applyAlignment="1" applyProtection="1">
      <alignment horizontal="left" vertical="center"/>
    </xf>
    <xf numFmtId="0" fontId="26" fillId="18" borderId="0" xfId="0" applyFont="1" applyFill="1" applyAlignment="1" applyProtection="1">
      <alignment horizontal="center" vertical="center"/>
    </xf>
    <xf numFmtId="0" fontId="27" fillId="18" borderId="0" xfId="0" applyFont="1" applyFill="1" applyAlignment="1" applyProtection="1">
      <alignment horizontal="left" vertical="center" indent="2"/>
    </xf>
    <xf numFmtId="0" fontId="26" fillId="18" borderId="0" xfId="0" applyFont="1" applyFill="1" applyAlignment="1" applyProtection="1">
      <alignment vertical="center"/>
    </xf>
    <xf numFmtId="0" fontId="26" fillId="18" borderId="0" xfId="0" applyFont="1" applyFill="1" applyAlignment="1" applyProtection="1">
      <alignment horizontal="left" vertical="center" indent="1"/>
    </xf>
    <xf numFmtId="0" fontId="29" fillId="18" borderId="0" xfId="0" applyFont="1" applyFill="1" applyAlignment="1" applyProtection="1">
      <alignment horizontal="left" vertical="center"/>
    </xf>
    <xf numFmtId="0" fontId="19" fillId="15" borderId="0" xfId="0" applyFont="1" applyFill="1" applyAlignment="1" applyProtection="1">
      <alignment horizontal="center" vertical="center"/>
    </xf>
    <xf numFmtId="0" fontId="25" fillId="15" borderId="0" xfId="0" applyFont="1" applyFill="1" applyAlignment="1" applyProtection="1">
      <alignment horizontal="center" vertical="center"/>
    </xf>
    <xf numFmtId="0" fontId="15" fillId="15" borderId="0" xfId="0" applyFont="1" applyFill="1" applyAlignment="1" applyProtection="1">
      <alignment vertical="center"/>
    </xf>
    <xf numFmtId="0" fontId="10" fillId="15" borderId="0" xfId="0" applyFont="1" applyFill="1" applyAlignment="1" applyProtection="1">
      <alignment vertical="center"/>
    </xf>
    <xf numFmtId="0" fontId="30" fillId="15" borderId="0" xfId="0" applyFont="1" applyFill="1" applyAlignment="1" applyProtection="1">
      <alignment horizontal="left" vertical="center"/>
    </xf>
    <xf numFmtId="0" fontId="19" fillId="11" borderId="5" xfId="0" applyFont="1" applyFill="1" applyBorder="1" applyAlignment="1" applyProtection="1">
      <alignment horizontal="center" vertical="center"/>
    </xf>
    <xf numFmtId="0" fontId="25" fillId="3" borderId="5" xfId="0" applyFont="1" applyFill="1" applyBorder="1" applyAlignment="1" applyProtection="1">
      <alignment horizontal="center" vertical="center"/>
    </xf>
    <xf numFmtId="0" fontId="22" fillId="14" borderId="0" xfId="0" applyFont="1" applyFill="1" applyAlignment="1" applyProtection="1">
      <alignment horizontal="left" vertical="center" indent="2"/>
    </xf>
    <xf numFmtId="0" fontId="37" fillId="21" borderId="1" xfId="0" applyFont="1" applyFill="1" applyBorder="1" applyAlignment="1" applyProtection="1">
      <alignment vertical="center"/>
    </xf>
    <xf numFmtId="0" fontId="30" fillId="13" borderId="5" xfId="0" applyFont="1" applyFill="1" applyBorder="1" applyAlignment="1" applyProtection="1">
      <alignment horizontal="left" vertical="center"/>
    </xf>
    <xf numFmtId="0" fontId="21" fillId="15" borderId="0" xfId="0" applyFont="1" applyFill="1" applyAlignment="1" applyProtection="1">
      <alignment horizontal="left" vertical="center" indent="1"/>
    </xf>
    <xf numFmtId="0" fontId="22" fillId="15" borderId="0" xfId="0" applyFont="1" applyFill="1" applyAlignment="1" applyProtection="1">
      <alignment horizontal="left" vertical="center" indent="2"/>
    </xf>
    <xf numFmtId="0" fontId="9" fillId="15" borderId="0" xfId="0" applyFont="1" applyFill="1" applyAlignment="1" applyProtection="1">
      <alignment horizontal="left" vertical="center" indent="1"/>
    </xf>
    <xf numFmtId="0" fontId="28" fillId="14" borderId="0" xfId="0" applyFont="1" applyFill="1" applyAlignment="1" applyProtection="1">
      <alignment horizontal="left" vertical="center" indent="1"/>
    </xf>
    <xf numFmtId="0" fontId="30" fillId="5" borderId="5" xfId="0" applyFont="1" applyFill="1" applyBorder="1" applyAlignment="1" applyProtection="1">
      <alignment horizontal="left" vertical="center"/>
    </xf>
    <xf numFmtId="168" fontId="30" fillId="5" borderId="5" xfId="0" applyNumberFormat="1" applyFont="1" applyFill="1" applyBorder="1" applyAlignment="1" applyProtection="1">
      <alignment horizontal="left" vertical="center"/>
    </xf>
    <xf numFmtId="0" fontId="19" fillId="15" borderId="0" xfId="0" applyFont="1" applyFill="1" applyBorder="1" applyAlignment="1" applyProtection="1">
      <alignment horizontal="center" vertical="center"/>
    </xf>
    <xf numFmtId="0" fontId="25" fillId="15" borderId="0" xfId="0" applyFont="1" applyFill="1" applyBorder="1" applyAlignment="1" applyProtection="1">
      <alignment horizontal="center" vertical="center"/>
    </xf>
    <xf numFmtId="0" fontId="10" fillId="15" borderId="0" xfId="0" applyFont="1" applyFill="1" applyBorder="1" applyAlignment="1" applyProtection="1">
      <alignment vertical="center"/>
    </xf>
    <xf numFmtId="0" fontId="30" fillId="15" borderId="0" xfId="0" applyFont="1" applyFill="1" applyBorder="1" applyAlignment="1" applyProtection="1">
      <alignment horizontal="left" vertical="center"/>
    </xf>
    <xf numFmtId="0" fontId="19" fillId="18" borderId="0" xfId="0" applyFont="1" applyFill="1" applyBorder="1" applyAlignment="1" applyProtection="1">
      <alignment horizontal="center" vertical="center"/>
    </xf>
    <xf numFmtId="0" fontId="25" fillId="18" borderId="0" xfId="0" applyFont="1" applyFill="1" applyBorder="1" applyAlignment="1" applyProtection="1">
      <alignment horizontal="center" vertical="center"/>
    </xf>
    <xf numFmtId="0" fontId="10" fillId="18" borderId="0" xfId="0" applyFont="1" applyFill="1" applyBorder="1" applyAlignment="1" applyProtection="1">
      <alignment vertical="center"/>
    </xf>
    <xf numFmtId="0" fontId="15" fillId="18" borderId="0" xfId="0" applyFont="1" applyFill="1" applyAlignment="1" applyProtection="1">
      <alignment vertical="center"/>
    </xf>
    <xf numFmtId="0" fontId="10" fillId="18" borderId="0" xfId="0" applyFont="1" applyFill="1" applyAlignment="1" applyProtection="1">
      <alignment vertical="center"/>
    </xf>
    <xf numFmtId="0" fontId="30" fillId="18" borderId="0" xfId="0" applyFont="1" applyFill="1" applyBorder="1" applyAlignment="1" applyProtection="1">
      <alignment horizontal="left" vertical="center"/>
    </xf>
    <xf numFmtId="0" fontId="19" fillId="11" borderId="5" xfId="0" applyFont="1" applyFill="1" applyBorder="1" applyAlignment="1" applyProtection="1">
      <alignment horizontal="center" vertical="top"/>
    </xf>
    <xf numFmtId="0" fontId="25" fillId="3" borderId="5" xfId="0" applyFont="1" applyFill="1" applyBorder="1" applyAlignment="1" applyProtection="1">
      <alignment horizontal="center" vertical="top"/>
    </xf>
    <xf numFmtId="0" fontId="22" fillId="14" borderId="0" xfId="0" applyFont="1" applyFill="1" applyAlignment="1" applyProtection="1">
      <alignment horizontal="left" vertical="top" indent="2"/>
    </xf>
    <xf numFmtId="0" fontId="36" fillId="20" borderId="1" xfId="0" applyFont="1" applyFill="1" applyBorder="1" applyAlignment="1" applyProtection="1">
      <alignment vertical="top"/>
    </xf>
    <xf numFmtId="0" fontId="10" fillId="15" borderId="0" xfId="0" applyFont="1" applyFill="1" applyAlignment="1" applyProtection="1">
      <alignment vertical="top"/>
    </xf>
    <xf numFmtId="0" fontId="30" fillId="5" borderId="5" xfId="0" applyNumberFormat="1" applyFont="1" applyFill="1" applyBorder="1" applyAlignment="1" applyProtection="1">
      <alignment vertical="top" wrapText="1" shrinkToFit="1"/>
    </xf>
    <xf numFmtId="0" fontId="9" fillId="15" borderId="0" xfId="0" applyFont="1" applyFill="1" applyAlignment="1" applyProtection="1">
      <alignment horizontal="left" vertical="top" indent="1"/>
    </xf>
    <xf numFmtId="0" fontId="25" fillId="17" borderId="5" xfId="0" applyFont="1" applyFill="1" applyBorder="1" applyAlignment="1" applyProtection="1">
      <alignment horizontal="center" vertical="center"/>
    </xf>
    <xf numFmtId="0" fontId="36" fillId="20" borderId="1" xfId="0" applyFont="1" applyFill="1" applyBorder="1" applyAlignment="1" applyProtection="1">
      <alignment vertical="center"/>
    </xf>
    <xf numFmtId="0" fontId="10" fillId="15" borderId="0" xfId="0" applyFont="1" applyFill="1" applyAlignment="1" applyProtection="1">
      <alignment horizontal="left" vertical="center" indent="1"/>
    </xf>
    <xf numFmtId="0" fontId="18" fillId="15" borderId="0" xfId="0" applyFont="1" applyFill="1" applyAlignment="1" applyProtection="1">
      <alignment horizontal="left" vertical="center" indent="1"/>
    </xf>
    <xf numFmtId="0" fontId="30" fillId="5" borderId="5" xfId="0" applyNumberFormat="1" applyFont="1" applyFill="1" applyBorder="1" applyAlignment="1" applyProtection="1">
      <alignment horizontal="left" vertical="top" wrapText="1" shrinkToFit="1"/>
    </xf>
    <xf numFmtId="165" fontId="30" fillId="5" borderId="5" xfId="0" applyNumberFormat="1" applyFont="1" applyFill="1" applyBorder="1" applyAlignment="1" applyProtection="1">
      <alignment horizontal="left" vertical="center"/>
    </xf>
    <xf numFmtId="0" fontId="15" fillId="15" borderId="0" xfId="0" applyFont="1" applyFill="1" applyAlignment="1" applyProtection="1">
      <alignment horizontal="left" vertical="center" indent="1"/>
    </xf>
    <xf numFmtId="0" fontId="19" fillId="15" borderId="0" xfId="0" applyFont="1" applyFill="1" applyAlignment="1" applyProtection="1">
      <alignment horizontal="left" vertical="center" indent="1"/>
    </xf>
    <xf numFmtId="0" fontId="28" fillId="15" borderId="0" xfId="0" applyFont="1" applyFill="1" applyBorder="1" applyAlignment="1" applyProtection="1">
      <alignment horizontal="left" vertical="center"/>
    </xf>
    <xf numFmtId="0" fontId="28" fillId="15" borderId="0" xfId="0" applyFont="1" applyFill="1" applyAlignment="1" applyProtection="1">
      <alignment horizontal="left" vertical="center" indent="1"/>
    </xf>
    <xf numFmtId="0" fontId="30" fillId="18" borderId="0" xfId="0" applyFont="1" applyFill="1" applyBorder="1" applyAlignment="1" applyProtection="1">
      <alignment vertical="center"/>
    </xf>
    <xf numFmtId="0" fontId="19" fillId="18" borderId="0" xfId="0" applyFont="1" applyFill="1" applyBorder="1" applyAlignment="1" applyProtection="1">
      <alignment vertical="center"/>
    </xf>
    <xf numFmtId="0" fontId="17" fillId="18" borderId="0" xfId="0" applyFont="1" applyFill="1" applyAlignment="1" applyProtection="1">
      <alignment horizontal="left" vertical="center"/>
    </xf>
    <xf numFmtId="0" fontId="12" fillId="14" borderId="0" xfId="0" applyFont="1" applyFill="1" applyAlignment="1" applyProtection="1">
      <alignment horizontal="left" vertical="center" indent="2"/>
    </xf>
    <xf numFmtId="0" fontId="13" fillId="14" borderId="0" xfId="0" applyFont="1" applyFill="1" applyAlignment="1" applyProtection="1">
      <alignment horizontal="left" vertical="center" indent="1"/>
    </xf>
    <xf numFmtId="0" fontId="31" fillId="5" borderId="5" xfId="0" applyFont="1" applyFill="1" applyBorder="1" applyAlignment="1" applyProtection="1">
      <alignment horizontal="left" vertical="center"/>
    </xf>
    <xf numFmtId="0" fontId="13" fillId="15" borderId="0" xfId="0" applyFont="1" applyFill="1" applyAlignment="1" applyProtection="1">
      <alignment horizontal="left" vertical="center" indent="1"/>
    </xf>
    <xf numFmtId="0" fontId="12" fillId="15" borderId="0" xfId="0" applyFont="1" applyFill="1" applyAlignment="1" applyProtection="1">
      <alignment horizontal="left" vertical="center" indent="2"/>
    </xf>
    <xf numFmtId="0" fontId="15" fillId="15" borderId="0" xfId="0" applyFont="1" applyFill="1" applyBorder="1" applyAlignment="1" applyProtection="1">
      <alignment vertical="center"/>
    </xf>
    <xf numFmtId="0" fontId="31" fillId="15" borderId="0" xfId="0" applyFont="1" applyFill="1" applyBorder="1" applyAlignment="1" applyProtection="1">
      <alignment horizontal="left" vertical="center"/>
    </xf>
    <xf numFmtId="164" fontId="30" fillId="5" borderId="5" xfId="0" applyNumberFormat="1" applyFont="1" applyFill="1" applyBorder="1" applyAlignment="1" applyProtection="1">
      <alignment horizontal="left" vertical="center"/>
    </xf>
    <xf numFmtId="0" fontId="18" fillId="15" borderId="0" xfId="0" applyFont="1" applyFill="1" applyAlignment="1" applyProtection="1">
      <alignment horizontal="left" vertical="center" wrapText="1"/>
    </xf>
    <xf numFmtId="0" fontId="32" fillId="15" borderId="0" xfId="0" applyFont="1" applyFill="1" applyAlignment="1" applyProtection="1">
      <alignment horizontal="left" vertical="center" wrapText="1"/>
    </xf>
    <xf numFmtId="0" fontId="17" fillId="19" borderId="0" xfId="0" applyFont="1" applyFill="1" applyAlignment="1" applyProtection="1">
      <alignment horizontal="left" vertical="center"/>
    </xf>
    <xf numFmtId="0" fontId="10" fillId="16" borderId="5" xfId="0" applyFont="1" applyFill="1" applyBorder="1" applyAlignment="1" applyProtection="1">
      <alignment horizontal="left" vertical="center" shrinkToFit="1"/>
      <protection locked="0"/>
    </xf>
    <xf numFmtId="0" fontId="10" fillId="0" borderId="5" xfId="0" applyFont="1" applyFill="1" applyBorder="1" applyAlignment="1" applyProtection="1">
      <alignment vertical="center"/>
      <protection locked="0"/>
    </xf>
    <xf numFmtId="0" fontId="10" fillId="4" borderId="5" xfId="0" applyFont="1" applyFill="1" applyBorder="1" applyAlignment="1" applyProtection="1">
      <alignment vertical="center"/>
      <protection locked="0"/>
    </xf>
    <xf numFmtId="49" fontId="18" fillId="0" borderId="5" xfId="0" applyNumberFormat="1" applyFont="1" applyFill="1" applyBorder="1" applyAlignment="1" applyProtection="1">
      <alignment vertical="top" wrapText="1" readingOrder="1"/>
      <protection locked="0"/>
    </xf>
    <xf numFmtId="0" fontId="10" fillId="0" borderId="5" xfId="0" applyFont="1" applyFill="1" applyBorder="1" applyAlignment="1" applyProtection="1">
      <alignment horizontal="left" vertical="center"/>
      <protection locked="0"/>
    </xf>
    <xf numFmtId="0" fontId="39" fillId="0" borderId="8" xfId="0" applyFont="1" applyFill="1" applyBorder="1" applyAlignment="1">
      <alignment horizontal="left" vertical="center"/>
    </xf>
    <xf numFmtId="164" fontId="30" fillId="15" borderId="0" xfId="0" applyNumberFormat="1" applyFont="1" applyFill="1" applyAlignment="1" applyProtection="1">
      <alignment horizontal="left" vertical="center"/>
    </xf>
    <xf numFmtId="0" fontId="10" fillId="20" borderId="3" xfId="0" applyFont="1" applyFill="1" applyBorder="1" applyAlignment="1" applyProtection="1">
      <alignment horizontal="left" vertical="center"/>
    </xf>
    <xf numFmtId="0" fontId="19" fillId="5" borderId="1" xfId="0" applyFont="1" applyFill="1" applyBorder="1" applyAlignment="1" applyProtection="1">
      <alignment horizontal="left" vertical="center"/>
    </xf>
    <xf numFmtId="0" fontId="16" fillId="23" borderId="4" xfId="0" applyFont="1" applyFill="1" applyBorder="1" applyAlignment="1" applyProtection="1">
      <alignment horizontal="left" vertical="center"/>
    </xf>
    <xf numFmtId="0" fontId="16" fillId="23" borderId="1" xfId="0" applyFont="1" applyFill="1" applyBorder="1" applyAlignment="1" applyProtection="1">
      <alignment horizontal="left" vertical="center"/>
    </xf>
    <xf numFmtId="0" fontId="16" fillId="23" borderId="16" xfId="0" applyFont="1" applyFill="1" applyBorder="1" applyAlignment="1" applyProtection="1">
      <alignment horizontal="left" vertical="center"/>
    </xf>
    <xf numFmtId="0" fontId="40" fillId="21" borderId="1" xfId="0" applyFont="1" applyFill="1" applyBorder="1" applyAlignment="1" applyProtection="1">
      <alignment horizontal="left" vertical="center"/>
    </xf>
    <xf numFmtId="0" fontId="16" fillId="24" borderId="4" xfId="0" applyFont="1" applyFill="1" applyBorder="1" applyAlignment="1" applyProtection="1">
      <alignment horizontal="left" vertical="center"/>
    </xf>
    <xf numFmtId="0" fontId="16" fillId="24" borderId="1" xfId="0" applyFont="1" applyFill="1" applyBorder="1" applyAlignment="1" applyProtection="1">
      <alignment horizontal="left" vertical="center"/>
    </xf>
    <xf numFmtId="0" fontId="16" fillId="24" borderId="16" xfId="0" applyFont="1" applyFill="1" applyBorder="1" applyAlignment="1" applyProtection="1">
      <alignment horizontal="left" vertical="center"/>
    </xf>
    <xf numFmtId="0" fontId="16" fillId="26" borderId="4" xfId="0" applyFont="1" applyFill="1" applyBorder="1" applyAlignment="1" applyProtection="1">
      <alignment horizontal="left" vertical="center"/>
    </xf>
    <xf numFmtId="0" fontId="16" fillId="26" borderId="1" xfId="0" applyFont="1" applyFill="1" applyBorder="1" applyAlignment="1" applyProtection="1">
      <alignment horizontal="left" vertical="center"/>
    </xf>
    <xf numFmtId="0" fontId="16" fillId="26" borderId="16" xfId="0" applyFont="1" applyFill="1" applyBorder="1" applyAlignment="1" applyProtection="1">
      <alignment horizontal="left" vertical="center"/>
    </xf>
    <xf numFmtId="0" fontId="16" fillId="27" borderId="4" xfId="0" applyFont="1" applyFill="1" applyBorder="1" applyAlignment="1" applyProtection="1">
      <alignment horizontal="left" vertical="center"/>
    </xf>
    <xf numFmtId="0" fontId="16" fillId="27" borderId="1" xfId="0" applyFont="1" applyFill="1" applyBorder="1" applyAlignment="1" applyProtection="1">
      <alignment horizontal="left" vertical="center"/>
    </xf>
    <xf numFmtId="0" fontId="16" fillId="27" borderId="16" xfId="0" applyFont="1" applyFill="1" applyBorder="1" applyAlignment="1" applyProtection="1">
      <alignment horizontal="left" vertical="center"/>
    </xf>
    <xf numFmtId="0" fontId="16" fillId="28" borderId="1" xfId="0" applyFont="1" applyFill="1" applyBorder="1" applyAlignment="1" applyProtection="1">
      <alignment horizontal="left" vertical="center"/>
    </xf>
    <xf numFmtId="0" fontId="16" fillId="28" borderId="16" xfId="0" applyFont="1" applyFill="1" applyBorder="1" applyAlignment="1" applyProtection="1">
      <alignment horizontal="left" vertical="center"/>
    </xf>
    <xf numFmtId="0" fontId="9" fillId="5" borderId="2" xfId="0" applyFont="1" applyFill="1" applyBorder="1" applyAlignment="1" applyProtection="1">
      <alignment vertical="top"/>
    </xf>
    <xf numFmtId="0" fontId="19" fillId="5" borderId="1" xfId="0" applyFont="1" applyFill="1" applyBorder="1" applyAlignment="1" applyProtection="1">
      <alignment horizontal="left" vertical="top"/>
    </xf>
    <xf numFmtId="0" fontId="19" fillId="5" borderId="3" xfId="0" applyFont="1" applyFill="1" applyBorder="1" applyAlignment="1" applyProtection="1">
      <alignment vertical="top"/>
    </xf>
    <xf numFmtId="169" fontId="38" fillId="5" borderId="3" xfId="0" applyNumberFormat="1" applyFont="1" applyFill="1" applyBorder="1" applyAlignment="1" applyProtection="1">
      <alignment horizontal="center" vertical="top"/>
    </xf>
    <xf numFmtId="0" fontId="16" fillId="0" borderId="1" xfId="0" applyFont="1" applyBorder="1" applyAlignment="1" applyProtection="1">
      <alignment horizontal="left" vertical="top"/>
      <protection locked="0"/>
    </xf>
    <xf numFmtId="0" fontId="19" fillId="5" borderId="3" xfId="0" applyFont="1" applyFill="1" applyBorder="1" applyAlignment="1" applyProtection="1">
      <alignment horizontal="left" vertical="top"/>
    </xf>
    <xf numFmtId="0" fontId="13" fillId="15" borderId="0" xfId="0" applyFont="1" applyFill="1" applyBorder="1" applyAlignment="1" applyProtection="1">
      <alignment vertical="center"/>
      <protection locked="0"/>
    </xf>
    <xf numFmtId="0" fontId="37" fillId="15" borderId="0" xfId="0" applyFont="1" applyFill="1" applyBorder="1" applyAlignment="1" applyProtection="1">
      <alignment vertical="center"/>
    </xf>
    <xf numFmtId="0" fontId="19" fillId="15" borderId="0" xfId="0" applyFont="1" applyFill="1" applyBorder="1" applyAlignment="1" applyProtection="1">
      <alignment horizontal="left" vertical="center"/>
      <protection locked="0"/>
    </xf>
    <xf numFmtId="0" fontId="18" fillId="20" borderId="1" xfId="0" applyFont="1" applyFill="1" applyBorder="1" applyAlignment="1" applyProtection="1">
      <alignment horizontal="left" vertical="center"/>
    </xf>
    <xf numFmtId="0" fontId="18" fillId="20" borderId="1" xfId="0" applyFont="1" applyFill="1" applyBorder="1" applyAlignment="1" applyProtection="1">
      <alignment vertical="center"/>
    </xf>
    <xf numFmtId="0" fontId="18" fillId="20" borderId="11" xfId="0" applyFont="1" applyFill="1" applyBorder="1" applyAlignment="1" applyProtection="1">
      <alignment horizontal="left" vertical="center"/>
    </xf>
    <xf numFmtId="0" fontId="40" fillId="21" borderId="4" xfId="0" applyFont="1" applyFill="1" applyBorder="1" applyAlignment="1" applyProtection="1">
      <alignment horizontal="left" vertical="center"/>
    </xf>
    <xf numFmtId="0" fontId="40" fillId="21" borderId="11" xfId="0" applyFont="1" applyFill="1" applyBorder="1" applyAlignment="1" applyProtection="1">
      <alignment horizontal="left" vertical="center"/>
    </xf>
    <xf numFmtId="0" fontId="40" fillId="21" borderId="20" xfId="0" applyFont="1" applyFill="1" applyBorder="1" applyAlignment="1" applyProtection="1">
      <alignment horizontal="left" vertical="center"/>
    </xf>
    <xf numFmtId="0" fontId="18" fillId="20" borderId="4" xfId="0" applyFont="1" applyFill="1" applyBorder="1" applyAlignment="1" applyProtection="1">
      <alignment horizontal="left" vertical="center"/>
    </xf>
    <xf numFmtId="0" fontId="12" fillId="15" borderId="24" xfId="0" applyFont="1" applyFill="1" applyBorder="1" applyAlignment="1" applyProtection="1">
      <alignment horizontal="left" vertical="center"/>
      <protection locked="0"/>
    </xf>
    <xf numFmtId="0" fontId="12" fillId="15" borderId="25" xfId="0" applyFont="1" applyFill="1" applyBorder="1" applyAlignment="1" applyProtection="1">
      <alignment horizontal="left" vertical="center"/>
      <protection locked="0"/>
    </xf>
    <xf numFmtId="0" fontId="12" fillId="15" borderId="26" xfId="0" applyFont="1" applyFill="1" applyBorder="1" applyAlignment="1" applyProtection="1">
      <alignment horizontal="left" vertical="center"/>
      <protection locked="0"/>
    </xf>
    <xf numFmtId="0" fontId="40" fillId="21" borderId="28" xfId="0" applyFont="1" applyFill="1" applyBorder="1" applyAlignment="1" applyProtection="1">
      <alignment horizontal="left" vertical="center"/>
    </xf>
    <xf numFmtId="0" fontId="23" fillId="12" borderId="10" xfId="0" applyFont="1" applyFill="1" applyBorder="1" applyAlignment="1" applyProtection="1">
      <alignment horizontal="left" vertical="center"/>
      <protection locked="0"/>
    </xf>
    <xf numFmtId="0" fontId="41" fillId="15" borderId="9" xfId="0" applyFont="1" applyFill="1" applyBorder="1" applyAlignment="1" applyProtection="1">
      <alignment horizontal="left" vertical="center"/>
      <protection locked="0"/>
    </xf>
    <xf numFmtId="0" fontId="41" fillId="15" borderId="13" xfId="0" applyFont="1" applyFill="1" applyBorder="1" applyAlignment="1" applyProtection="1">
      <alignment horizontal="left" vertical="center"/>
      <protection locked="0"/>
    </xf>
    <xf numFmtId="0" fontId="41" fillId="15" borderId="29" xfId="0" applyFont="1" applyFill="1" applyBorder="1" applyAlignment="1" applyProtection="1">
      <alignment horizontal="left" vertical="center"/>
      <protection locked="0"/>
    </xf>
    <xf numFmtId="0" fontId="40" fillId="21" borderId="10" xfId="0" applyFont="1" applyFill="1" applyBorder="1" applyAlignment="1" applyProtection="1">
      <alignment horizontal="left" vertical="center"/>
    </xf>
    <xf numFmtId="0" fontId="41" fillId="15" borderId="31" xfId="0" applyFont="1" applyFill="1" applyBorder="1" applyAlignment="1" applyProtection="1">
      <alignment horizontal="left" vertical="center"/>
      <protection locked="0"/>
    </xf>
    <xf numFmtId="0" fontId="12" fillId="15" borderId="33" xfId="0" applyFont="1" applyFill="1" applyBorder="1" applyAlignment="1" applyProtection="1">
      <alignment horizontal="left" vertical="center"/>
      <protection locked="0"/>
    </xf>
    <xf numFmtId="0" fontId="12" fillId="15" borderId="36" xfId="0" applyFont="1" applyFill="1" applyBorder="1" applyAlignment="1" applyProtection="1">
      <alignment horizontal="left" vertical="center"/>
      <protection locked="0"/>
    </xf>
    <xf numFmtId="0" fontId="26" fillId="21" borderId="37" xfId="0" applyFont="1" applyFill="1" applyBorder="1" applyAlignment="1" applyProtection="1">
      <alignment horizontal="left" vertical="center"/>
    </xf>
    <xf numFmtId="0" fontId="40" fillId="21" borderId="37" xfId="0" applyFont="1" applyFill="1" applyBorder="1" applyAlignment="1" applyProtection="1">
      <alignment horizontal="left" vertical="center"/>
    </xf>
    <xf numFmtId="0" fontId="19" fillId="14" borderId="0" xfId="0" applyFont="1" applyFill="1" applyBorder="1" applyAlignment="1" applyProtection="1">
      <alignment horizontal="left" vertical="center"/>
      <protection locked="0"/>
    </xf>
    <xf numFmtId="0" fontId="9" fillId="14" borderId="0" xfId="0" applyFont="1" applyFill="1" applyBorder="1" applyAlignment="1" applyProtection="1">
      <alignment horizontal="left" vertical="center"/>
      <protection locked="0"/>
    </xf>
    <xf numFmtId="0" fontId="23" fillId="12" borderId="37" xfId="0" applyFont="1" applyFill="1" applyBorder="1" applyAlignment="1" applyProtection="1">
      <alignment horizontal="left" vertical="center"/>
      <protection locked="0"/>
    </xf>
    <xf numFmtId="0" fontId="10" fillId="35" borderId="45" xfId="0" applyFont="1" applyFill="1" applyBorder="1" applyAlignment="1" applyProtection="1">
      <alignment horizontal="left" vertical="center"/>
      <protection locked="0"/>
    </xf>
    <xf numFmtId="0" fontId="10" fillId="35" borderId="44" xfId="0" applyFont="1" applyFill="1" applyBorder="1" applyAlignment="1" applyProtection="1">
      <alignment horizontal="left" vertical="center" indent="1"/>
      <protection locked="0"/>
    </xf>
    <xf numFmtId="0" fontId="10" fillId="35" borderId="45" xfId="0" applyFont="1" applyFill="1" applyBorder="1" applyAlignment="1" applyProtection="1">
      <alignment horizontal="left" vertical="center" indent="1"/>
      <protection locked="0"/>
    </xf>
    <xf numFmtId="0" fontId="10" fillId="35" borderId="42" xfId="0" applyFont="1" applyFill="1" applyBorder="1" applyAlignment="1" applyProtection="1">
      <alignment horizontal="left" vertical="center" indent="1"/>
      <protection locked="0"/>
    </xf>
    <xf numFmtId="0" fontId="4" fillId="15" borderId="0" xfId="0" applyFont="1" applyFill="1"/>
    <xf numFmtId="165" fontId="10" fillId="35" borderId="44" xfId="0" applyNumberFormat="1" applyFont="1" applyFill="1" applyBorder="1" applyAlignment="1" applyProtection="1">
      <alignment horizontal="left" vertical="center" indent="1"/>
      <protection locked="0"/>
    </xf>
    <xf numFmtId="165" fontId="10" fillId="35" borderId="45" xfId="0" applyNumberFormat="1" applyFont="1" applyFill="1" applyBorder="1" applyAlignment="1" applyProtection="1">
      <alignment horizontal="left" vertical="center" indent="1"/>
      <protection locked="0"/>
    </xf>
    <xf numFmtId="165" fontId="10" fillId="35" borderId="42" xfId="0" applyNumberFormat="1" applyFont="1" applyFill="1" applyBorder="1" applyAlignment="1" applyProtection="1">
      <alignment horizontal="left" vertical="center" indent="1"/>
      <protection locked="0"/>
    </xf>
    <xf numFmtId="164" fontId="10" fillId="35" borderId="45" xfId="0" applyNumberFormat="1" applyFont="1" applyFill="1" applyBorder="1" applyAlignment="1" applyProtection="1">
      <alignment horizontal="left" vertical="center" indent="1"/>
      <protection locked="0"/>
    </xf>
    <xf numFmtId="0" fontId="24" fillId="34" borderId="47" xfId="0" applyFont="1" applyFill="1" applyBorder="1" applyAlignment="1" applyProtection="1">
      <alignment horizontal="left" vertical="center" indent="1"/>
      <protection locked="0"/>
    </xf>
    <xf numFmtId="0" fontId="12" fillId="15" borderId="47" xfId="0" applyFont="1" applyFill="1" applyBorder="1" applyAlignment="1" applyProtection="1">
      <alignment horizontal="left" vertical="center"/>
      <protection locked="0"/>
    </xf>
    <xf numFmtId="0" fontId="24" fillId="34" borderId="50" xfId="0" applyFont="1" applyFill="1" applyBorder="1" applyAlignment="1" applyProtection="1">
      <alignment horizontal="left" vertical="center" indent="1"/>
      <protection locked="0"/>
    </xf>
    <xf numFmtId="0" fontId="10" fillId="35" borderId="51" xfId="0" applyFont="1" applyFill="1" applyBorder="1" applyAlignment="1" applyProtection="1">
      <alignment horizontal="left" vertical="center" indent="1"/>
      <protection locked="0"/>
    </xf>
    <xf numFmtId="0" fontId="10" fillId="35" borderId="52" xfId="0" applyFont="1" applyFill="1" applyBorder="1" applyAlignment="1" applyProtection="1">
      <alignment horizontal="left" vertical="center" indent="1"/>
      <protection locked="0"/>
    </xf>
    <xf numFmtId="0" fontId="10" fillId="35" borderId="53" xfId="0" applyFont="1" applyFill="1" applyBorder="1" applyAlignment="1" applyProtection="1">
      <alignment horizontal="left" vertical="center" indent="1"/>
      <protection locked="0"/>
    </xf>
    <xf numFmtId="0" fontId="24" fillId="34" borderId="54" xfId="0" applyFont="1" applyFill="1" applyBorder="1" applyAlignment="1" applyProtection="1">
      <alignment horizontal="left" vertical="center" indent="1"/>
      <protection locked="0"/>
    </xf>
    <xf numFmtId="0" fontId="24" fillId="34" borderId="58" xfId="0" applyFont="1" applyFill="1" applyBorder="1" applyAlignment="1" applyProtection="1">
      <alignment horizontal="left" vertical="center" indent="1"/>
      <protection locked="0"/>
    </xf>
    <xf numFmtId="0" fontId="10" fillId="35" borderId="7" xfId="0" applyFont="1" applyFill="1" applyBorder="1" applyAlignment="1" applyProtection="1">
      <alignment horizontal="left" vertical="center" indent="1"/>
      <protection locked="0"/>
    </xf>
    <xf numFmtId="0" fontId="10" fillId="35" borderId="6" xfId="0" applyFont="1" applyFill="1" applyBorder="1" applyAlignment="1" applyProtection="1">
      <alignment horizontal="left" vertical="center" indent="1"/>
      <protection locked="0"/>
    </xf>
    <xf numFmtId="0" fontId="10" fillId="35" borderId="49" xfId="0" applyFont="1" applyFill="1" applyBorder="1" applyAlignment="1" applyProtection="1">
      <alignment horizontal="left" vertical="center" indent="1"/>
      <protection locked="0"/>
    </xf>
    <xf numFmtId="0" fontId="10" fillId="35" borderId="60" xfId="0" applyFont="1" applyFill="1" applyBorder="1" applyAlignment="1" applyProtection="1">
      <alignment horizontal="left" vertical="center" indent="1"/>
      <protection locked="0"/>
    </xf>
    <xf numFmtId="0" fontId="10" fillId="35" borderId="61" xfId="0" applyFont="1" applyFill="1" applyBorder="1" applyAlignment="1" applyProtection="1">
      <alignment horizontal="left" vertical="center" indent="1"/>
      <protection locked="0"/>
    </xf>
    <xf numFmtId="0" fontId="9" fillId="35" borderId="55" xfId="0" applyFont="1" applyFill="1" applyBorder="1" applyAlignment="1" applyProtection="1">
      <alignment horizontal="left" vertical="center" indent="1"/>
      <protection locked="0"/>
    </xf>
    <xf numFmtId="0" fontId="9" fillId="35" borderId="56" xfId="0" applyFont="1" applyFill="1" applyBorder="1" applyAlignment="1" applyProtection="1">
      <alignment horizontal="left" vertical="center" indent="1"/>
      <protection locked="0"/>
    </xf>
    <xf numFmtId="0" fontId="9" fillId="35" borderId="57" xfId="0" applyFont="1" applyFill="1" applyBorder="1" applyAlignment="1" applyProtection="1">
      <alignment horizontal="left" vertical="center" indent="1"/>
      <protection locked="0"/>
    </xf>
    <xf numFmtId="0" fontId="9" fillId="35" borderId="59" xfId="0" applyFont="1" applyFill="1" applyBorder="1" applyAlignment="1" applyProtection="1">
      <alignment horizontal="left" vertical="center" indent="1"/>
      <protection locked="0"/>
    </xf>
    <xf numFmtId="0" fontId="29" fillId="36" borderId="1" xfId="0" applyFont="1" applyFill="1" applyBorder="1" applyAlignment="1" applyProtection="1">
      <alignment vertical="center"/>
    </xf>
    <xf numFmtId="0" fontId="21" fillId="35" borderId="44" xfId="0" applyFont="1" applyFill="1" applyBorder="1" applyAlignment="1" applyProtection="1">
      <alignment horizontal="left" vertical="center" indent="1"/>
      <protection locked="0"/>
    </xf>
    <xf numFmtId="165" fontId="21" fillId="35" borderId="44" xfId="0" applyNumberFormat="1" applyFont="1" applyFill="1" applyBorder="1" applyAlignment="1" applyProtection="1">
      <alignment horizontal="left" vertical="center" indent="1"/>
      <protection locked="0"/>
    </xf>
    <xf numFmtId="0" fontId="21" fillId="35" borderId="45" xfId="0" applyFont="1" applyFill="1" applyBorder="1" applyAlignment="1" applyProtection="1">
      <alignment horizontal="left" vertical="center" indent="1"/>
      <protection locked="0"/>
    </xf>
    <xf numFmtId="165" fontId="21" fillId="35" borderId="45" xfId="0" applyNumberFormat="1" applyFont="1" applyFill="1" applyBorder="1" applyAlignment="1" applyProtection="1">
      <alignment horizontal="left" vertical="center" indent="1"/>
      <protection locked="0"/>
    </xf>
    <xf numFmtId="0" fontId="21" fillId="35" borderId="42" xfId="0" applyFont="1" applyFill="1" applyBorder="1" applyAlignment="1" applyProtection="1">
      <alignment horizontal="left" vertical="center" indent="1"/>
      <protection locked="0"/>
    </xf>
    <xf numFmtId="165" fontId="21" fillId="35" borderId="42" xfId="0" applyNumberFormat="1" applyFont="1" applyFill="1" applyBorder="1" applyAlignment="1" applyProtection="1">
      <alignment horizontal="left" vertical="center" indent="1"/>
      <protection locked="0"/>
    </xf>
    <xf numFmtId="0" fontId="21" fillId="35" borderId="46" xfId="0" applyFont="1" applyFill="1" applyBorder="1" applyAlignment="1" applyProtection="1">
      <alignment horizontal="left" vertical="center" indent="1"/>
      <protection locked="0"/>
    </xf>
    <xf numFmtId="165" fontId="21" fillId="35" borderId="48" xfId="0" applyNumberFormat="1" applyFont="1" applyFill="1" applyBorder="1" applyAlignment="1" applyProtection="1">
      <alignment horizontal="left" vertical="center" indent="1"/>
      <protection locked="0"/>
    </xf>
    <xf numFmtId="0" fontId="12" fillId="15" borderId="63" xfId="0" applyFont="1" applyFill="1" applyBorder="1" applyAlignment="1" applyProtection="1">
      <alignment horizontal="left" vertical="center"/>
      <protection locked="0"/>
    </xf>
    <xf numFmtId="0" fontId="23" fillId="12" borderId="63" xfId="0" applyFont="1" applyFill="1" applyBorder="1" applyAlignment="1" applyProtection="1">
      <alignment horizontal="left" vertical="center"/>
      <protection locked="0"/>
    </xf>
    <xf numFmtId="0" fontId="18" fillId="8" borderId="63" xfId="0" applyFont="1" applyFill="1" applyBorder="1" applyAlignment="1" applyProtection="1">
      <alignment horizontal="left" vertical="top"/>
      <protection locked="0"/>
    </xf>
    <xf numFmtId="0" fontId="12" fillId="15" borderId="62" xfId="0" applyFont="1" applyFill="1" applyBorder="1" applyAlignment="1" applyProtection="1">
      <alignment horizontal="left" vertical="center"/>
      <protection locked="0"/>
    </xf>
    <xf numFmtId="0" fontId="41" fillId="15" borderId="64" xfId="0" applyFont="1" applyFill="1" applyBorder="1" applyAlignment="1" applyProtection="1">
      <alignment horizontal="left" vertical="center"/>
      <protection locked="0"/>
    </xf>
    <xf numFmtId="0" fontId="41" fillId="15" borderId="65" xfId="0" applyFont="1" applyFill="1" applyBorder="1" applyAlignment="1" applyProtection="1">
      <alignment horizontal="left" vertical="center"/>
      <protection locked="0"/>
    </xf>
    <xf numFmtId="0" fontId="41" fillId="15" borderId="30" xfId="0" applyFont="1" applyFill="1" applyBorder="1" applyAlignment="1" applyProtection="1">
      <alignment horizontal="left" vertical="center"/>
      <protection locked="0"/>
    </xf>
    <xf numFmtId="0" fontId="26" fillId="36" borderId="1" xfId="0" applyFont="1" applyFill="1" applyBorder="1" applyAlignment="1" applyProtection="1">
      <alignment horizontal="left" vertical="center"/>
    </xf>
    <xf numFmtId="0" fontId="9" fillId="35" borderId="67" xfId="0" applyFont="1" applyFill="1" applyBorder="1" applyAlignment="1" applyProtection="1">
      <alignment horizontal="left" vertical="center" indent="1"/>
      <protection locked="0"/>
    </xf>
    <xf numFmtId="0" fontId="10" fillId="35" borderId="35" xfId="0" applyFont="1" applyFill="1" applyBorder="1" applyAlignment="1" applyProtection="1">
      <alignment horizontal="left" vertical="center" indent="1"/>
      <protection locked="0"/>
    </xf>
    <xf numFmtId="0" fontId="10" fillId="35" borderId="68" xfId="0" applyFont="1" applyFill="1" applyBorder="1" applyAlignment="1" applyProtection="1">
      <alignment horizontal="left" vertical="center" indent="1"/>
      <protection locked="0"/>
    </xf>
    <xf numFmtId="0" fontId="10" fillId="35" borderId="69" xfId="0" applyFont="1" applyFill="1" applyBorder="1" applyAlignment="1" applyProtection="1">
      <alignment horizontal="left" vertical="center" indent="1"/>
      <protection locked="0"/>
    </xf>
    <xf numFmtId="0" fontId="9" fillId="35" borderId="70" xfId="0" applyFont="1" applyFill="1" applyBorder="1" applyAlignment="1" applyProtection="1">
      <alignment horizontal="left" vertical="center" indent="1"/>
      <protection locked="0"/>
    </xf>
    <xf numFmtId="0" fontId="10" fillId="35" borderId="34" xfId="0" applyFont="1" applyFill="1" applyBorder="1" applyAlignment="1" applyProtection="1">
      <alignment horizontal="left" vertical="center" indent="1"/>
      <protection locked="0"/>
    </xf>
    <xf numFmtId="0" fontId="10" fillId="35" borderId="71" xfId="0" applyFont="1" applyFill="1" applyBorder="1" applyAlignment="1" applyProtection="1">
      <alignment horizontal="left" vertical="center" indent="1"/>
      <protection locked="0"/>
    </xf>
    <xf numFmtId="0" fontId="21" fillId="35" borderId="66" xfId="0" applyFont="1" applyFill="1" applyBorder="1" applyAlignment="1" applyProtection="1">
      <alignment horizontal="left" vertical="center" indent="1"/>
      <protection locked="0"/>
    </xf>
    <xf numFmtId="165" fontId="21" fillId="35" borderId="66" xfId="0" applyNumberFormat="1" applyFont="1" applyFill="1" applyBorder="1" applyAlignment="1" applyProtection="1">
      <alignment horizontal="left" vertical="center" indent="1"/>
      <protection locked="0"/>
    </xf>
    <xf numFmtId="0" fontId="24" fillId="34" borderId="47" xfId="0" applyFont="1" applyFill="1" applyBorder="1" applyAlignment="1" applyProtection="1">
      <alignment horizontal="left" vertical="center"/>
      <protection locked="0"/>
    </xf>
    <xf numFmtId="0" fontId="24" fillId="34" borderId="54" xfId="0" applyFont="1" applyFill="1" applyBorder="1" applyAlignment="1" applyProtection="1">
      <alignment horizontal="left" vertical="center"/>
      <protection locked="0"/>
    </xf>
    <xf numFmtId="0" fontId="10" fillId="35" borderId="72" xfId="0" applyFont="1" applyFill="1" applyBorder="1" applyAlignment="1" applyProtection="1">
      <alignment horizontal="left" vertical="center"/>
      <protection locked="0"/>
    </xf>
    <xf numFmtId="0" fontId="9" fillId="35" borderId="48" xfId="0" applyFont="1" applyFill="1" applyBorder="1" applyAlignment="1" applyProtection="1">
      <alignment horizontal="left" vertical="center"/>
      <protection locked="0"/>
    </xf>
    <xf numFmtId="0" fontId="0" fillId="15" borderId="0" xfId="0" applyFill="1" applyProtection="1"/>
    <xf numFmtId="0" fontId="40" fillId="21" borderId="73" xfId="0" applyFont="1" applyFill="1" applyBorder="1" applyAlignment="1" applyProtection="1">
      <alignment horizontal="left" vertical="center"/>
    </xf>
    <xf numFmtId="0" fontId="19" fillId="5" borderId="2" xfId="0" applyFont="1" applyFill="1" applyBorder="1" applyAlignment="1" applyProtection="1">
      <alignment horizontal="left" vertical="center"/>
    </xf>
    <xf numFmtId="169" fontId="38" fillId="5" borderId="3" xfId="0" applyNumberFormat="1" applyFont="1" applyFill="1" applyBorder="1" applyAlignment="1" applyProtection="1">
      <alignment horizontal="left" vertical="center"/>
    </xf>
    <xf numFmtId="0" fontId="43" fillId="12" borderId="38" xfId="0" applyFont="1" applyFill="1" applyBorder="1" applyAlignment="1" applyProtection="1">
      <alignment horizontal="left" vertical="top"/>
      <protection locked="0"/>
    </xf>
    <xf numFmtId="0" fontId="16" fillId="3" borderId="39" xfId="0" applyFont="1" applyFill="1" applyBorder="1" applyAlignment="1" applyProtection="1">
      <alignment horizontal="left" vertical="top"/>
      <protection locked="0"/>
    </xf>
    <xf numFmtId="0" fontId="16" fillId="3" borderId="40" xfId="0" applyFont="1" applyFill="1" applyBorder="1" applyAlignment="1" applyProtection="1">
      <alignment horizontal="left" vertical="top"/>
      <protection locked="0"/>
    </xf>
    <xf numFmtId="0" fontId="30" fillId="8" borderId="40" xfId="0" applyFont="1" applyFill="1" applyBorder="1" applyAlignment="1" applyProtection="1">
      <alignment horizontal="left" vertical="top" wrapText="1"/>
      <protection locked="0"/>
    </xf>
    <xf numFmtId="0" fontId="30" fillId="8" borderId="41" xfId="0" applyFont="1" applyFill="1" applyBorder="1" applyAlignment="1" applyProtection="1">
      <alignment horizontal="left" vertical="top" wrapText="1"/>
      <protection locked="0"/>
    </xf>
    <xf numFmtId="0" fontId="30" fillId="4" borderId="38" xfId="0" applyFont="1" applyFill="1" applyBorder="1" applyAlignment="1" applyProtection="1">
      <alignment horizontal="left" vertical="top"/>
      <protection locked="0"/>
    </xf>
    <xf numFmtId="0" fontId="30" fillId="8" borderId="39" xfId="0" applyFont="1" applyFill="1" applyBorder="1" applyAlignment="1" applyProtection="1">
      <alignment horizontal="left" vertical="top" wrapText="1"/>
      <protection locked="0"/>
    </xf>
    <xf numFmtId="0" fontId="30" fillId="3" borderId="40" xfId="0" applyFont="1" applyFill="1" applyBorder="1" applyAlignment="1" applyProtection="1">
      <alignment horizontal="left" vertical="top"/>
      <protection locked="0"/>
    </xf>
    <xf numFmtId="0" fontId="31" fillId="7" borderId="38" xfId="0" applyFont="1" applyFill="1" applyBorder="1" applyAlignment="1" applyProtection="1">
      <alignment horizontal="left" vertical="top"/>
      <protection locked="0"/>
    </xf>
    <xf numFmtId="0" fontId="15" fillId="0" borderId="2" xfId="0" applyFont="1" applyBorder="1" applyAlignment="1" applyProtection="1">
      <alignment vertical="center"/>
      <protection locked="0"/>
    </xf>
    <xf numFmtId="0" fontId="15" fillId="0" borderId="2" xfId="0" applyFont="1" applyBorder="1" applyAlignment="1" applyProtection="1">
      <alignment horizontal="left" vertical="center"/>
      <protection locked="0"/>
    </xf>
    <xf numFmtId="0" fontId="15" fillId="0" borderId="1" xfId="0" applyFont="1" applyBorder="1" applyAlignment="1" applyProtection="1">
      <alignment horizontal="left" vertical="center"/>
      <protection locked="0"/>
    </xf>
    <xf numFmtId="0" fontId="3" fillId="4" borderId="1" xfId="0" applyFont="1" applyFill="1" applyBorder="1" applyAlignment="1" applyProtection="1">
      <alignment horizontal="center" vertical="center"/>
    </xf>
    <xf numFmtId="0" fontId="15" fillId="0" borderId="1" xfId="0" applyFont="1" applyBorder="1" applyAlignment="1" applyProtection="1">
      <alignment horizontal="left" vertical="top"/>
      <protection locked="0"/>
    </xf>
    <xf numFmtId="0" fontId="15" fillId="0" borderId="1" xfId="0" applyFont="1" applyBorder="1" applyAlignment="1" applyProtection="1">
      <alignment horizontal="left" vertical="top" wrapText="1"/>
      <protection locked="0"/>
    </xf>
    <xf numFmtId="49" fontId="18" fillId="0" borderId="5" xfId="0" applyNumberFormat="1" applyFont="1" applyFill="1" applyBorder="1" applyAlignment="1" applyProtection="1">
      <alignment horizontal="left" vertical="top" wrapText="1" readingOrder="1"/>
      <protection locked="0"/>
    </xf>
    <xf numFmtId="0" fontId="30" fillId="28" borderId="1" xfId="0" applyFont="1" applyFill="1" applyBorder="1" applyAlignment="1" applyProtection="1">
      <alignment horizontal="left" vertical="center"/>
    </xf>
    <xf numFmtId="0" fontId="30" fillId="28" borderId="9" xfId="0" applyFont="1" applyFill="1" applyBorder="1" applyAlignment="1" applyProtection="1">
      <alignment vertical="center"/>
    </xf>
    <xf numFmtId="0" fontId="30" fillId="28" borderId="3" xfId="0" applyFont="1" applyFill="1" applyBorder="1" applyAlignment="1" applyProtection="1">
      <alignment vertical="center"/>
    </xf>
    <xf numFmtId="0" fontId="30" fillId="28" borderId="16" xfId="0" applyFont="1" applyFill="1" applyBorder="1" applyAlignment="1" applyProtection="1">
      <alignment horizontal="left" vertical="center"/>
    </xf>
    <xf numFmtId="0" fontId="30" fillId="28" borderId="17" xfId="0" applyFont="1" applyFill="1" applyBorder="1" applyAlignment="1" applyProtection="1">
      <alignment vertical="center"/>
    </xf>
    <xf numFmtId="0" fontId="30" fillId="28" borderId="18" xfId="0" applyFont="1" applyFill="1" applyBorder="1" applyAlignment="1" applyProtection="1">
      <alignment vertical="center"/>
    </xf>
    <xf numFmtId="0" fontId="30" fillId="25" borderId="4" xfId="0" applyFont="1" applyFill="1" applyBorder="1" applyAlignment="1" applyProtection="1">
      <alignment horizontal="left" vertical="center"/>
    </xf>
    <xf numFmtId="0" fontId="30" fillId="25" borderId="13" xfId="0" applyFont="1" applyFill="1" applyBorder="1" applyAlignment="1" applyProtection="1">
      <alignment vertical="center"/>
    </xf>
    <xf numFmtId="0" fontId="30" fillId="25" borderId="1" xfId="0" applyFont="1" applyFill="1" applyBorder="1" applyAlignment="1" applyProtection="1">
      <alignment horizontal="left" vertical="center"/>
    </xf>
    <xf numFmtId="0" fontId="30" fillId="25" borderId="9" xfId="0" applyFont="1" applyFill="1" applyBorder="1" applyAlignment="1" applyProtection="1">
      <alignment vertical="center"/>
    </xf>
    <xf numFmtId="0" fontId="30" fillId="25" borderId="16" xfId="0" applyFont="1" applyFill="1" applyBorder="1" applyAlignment="1" applyProtection="1">
      <alignment horizontal="left" vertical="center"/>
    </xf>
    <xf numFmtId="0" fontId="30" fillId="25" borderId="17" xfId="0" applyFont="1" applyFill="1" applyBorder="1" applyAlignment="1" applyProtection="1">
      <alignment vertical="center"/>
    </xf>
    <xf numFmtId="0" fontId="30" fillId="26" borderId="4" xfId="0" applyFont="1" applyFill="1" applyBorder="1" applyAlignment="1" applyProtection="1">
      <alignment horizontal="left" vertical="center"/>
    </xf>
    <xf numFmtId="0" fontId="30" fillId="26" borderId="13" xfId="0" applyFont="1" applyFill="1" applyBorder="1" applyAlignment="1" applyProtection="1">
      <alignment vertical="center"/>
    </xf>
    <xf numFmtId="0" fontId="30" fillId="26" borderId="1" xfId="0" applyFont="1" applyFill="1" applyBorder="1" applyAlignment="1" applyProtection="1">
      <alignment horizontal="left" vertical="center"/>
    </xf>
    <xf numFmtId="0" fontId="30" fillId="26" borderId="9" xfId="0" applyFont="1" applyFill="1" applyBorder="1" applyAlignment="1" applyProtection="1">
      <alignment vertical="center"/>
    </xf>
    <xf numFmtId="0" fontId="30" fillId="26" borderId="16" xfId="0" applyFont="1" applyFill="1" applyBorder="1" applyAlignment="1" applyProtection="1">
      <alignment horizontal="left" vertical="center"/>
    </xf>
    <xf numFmtId="0" fontId="30" fillId="26" borderId="17" xfId="0" applyFont="1" applyFill="1" applyBorder="1" applyAlignment="1" applyProtection="1">
      <alignment vertical="center"/>
    </xf>
    <xf numFmtId="0" fontId="30" fillId="27" borderId="4" xfId="0" applyFont="1" applyFill="1" applyBorder="1" applyAlignment="1" applyProtection="1">
      <alignment horizontal="left" vertical="center"/>
    </xf>
    <xf numFmtId="0" fontId="30" fillId="27" borderId="13" xfId="0" applyFont="1" applyFill="1" applyBorder="1" applyAlignment="1" applyProtection="1">
      <alignment vertical="center"/>
    </xf>
    <xf numFmtId="0" fontId="30" fillId="27" borderId="1" xfId="0" applyFont="1" applyFill="1" applyBorder="1" applyAlignment="1" applyProtection="1">
      <alignment horizontal="left" vertical="center"/>
    </xf>
    <xf numFmtId="0" fontId="30" fillId="27" borderId="9" xfId="0" applyFont="1" applyFill="1" applyBorder="1" applyAlignment="1" applyProtection="1">
      <alignment vertical="center"/>
    </xf>
    <xf numFmtId="0" fontId="30" fillId="27" borderId="16" xfId="0" applyFont="1" applyFill="1" applyBorder="1" applyAlignment="1" applyProtection="1">
      <alignment horizontal="left" vertical="center"/>
    </xf>
    <xf numFmtId="0" fontId="30" fillId="27" borderId="17" xfId="0" applyFont="1" applyFill="1" applyBorder="1" applyAlignment="1" applyProtection="1">
      <alignment vertical="center"/>
    </xf>
    <xf numFmtId="0" fontId="30" fillId="24" borderId="4" xfId="0" applyFont="1" applyFill="1" applyBorder="1" applyAlignment="1" applyProtection="1">
      <alignment horizontal="left" vertical="center"/>
    </xf>
    <xf numFmtId="0" fontId="30" fillId="24" borderId="1" xfId="0" applyFont="1" applyFill="1" applyBorder="1" applyAlignment="1" applyProtection="1">
      <alignment horizontal="left" vertical="center"/>
    </xf>
    <xf numFmtId="0" fontId="30" fillId="24" borderId="16" xfId="0" applyFont="1" applyFill="1" applyBorder="1" applyAlignment="1" applyProtection="1">
      <alignment horizontal="left" vertical="center"/>
    </xf>
    <xf numFmtId="169" fontId="43" fillId="28" borderId="3" xfId="0" applyNumberFormat="1" applyFont="1" applyFill="1" applyBorder="1" applyAlignment="1" applyProtection="1">
      <alignment horizontal="center" vertical="center"/>
    </xf>
    <xf numFmtId="169" fontId="43" fillId="28" borderId="18" xfId="0" applyNumberFormat="1" applyFont="1" applyFill="1" applyBorder="1" applyAlignment="1" applyProtection="1">
      <alignment horizontal="center" vertical="center"/>
    </xf>
    <xf numFmtId="169" fontId="43" fillId="25" borderId="14" xfId="0" applyNumberFormat="1" applyFont="1" applyFill="1" applyBorder="1" applyAlignment="1" applyProtection="1">
      <alignment horizontal="center" vertical="center"/>
    </xf>
    <xf numFmtId="169" fontId="43" fillId="25" borderId="3" xfId="0" applyNumberFormat="1" applyFont="1" applyFill="1" applyBorder="1" applyAlignment="1" applyProtection="1">
      <alignment horizontal="center" vertical="center"/>
    </xf>
    <xf numFmtId="169" fontId="43" fillId="25" borderId="18" xfId="0" applyNumberFormat="1" applyFont="1" applyFill="1" applyBorder="1" applyAlignment="1" applyProtection="1">
      <alignment horizontal="center" vertical="center"/>
    </xf>
    <xf numFmtId="169" fontId="43" fillId="26" borderId="14" xfId="0" applyNumberFormat="1" applyFont="1" applyFill="1" applyBorder="1" applyAlignment="1" applyProtection="1">
      <alignment horizontal="center" vertical="center"/>
    </xf>
    <xf numFmtId="169" fontId="43" fillId="26" borderId="3" xfId="0" applyNumberFormat="1" applyFont="1" applyFill="1" applyBorder="1" applyAlignment="1" applyProtection="1">
      <alignment horizontal="center" vertical="center"/>
    </xf>
    <xf numFmtId="169" fontId="43" fillId="26" borderId="18" xfId="0" applyNumberFormat="1" applyFont="1" applyFill="1" applyBorder="1" applyAlignment="1" applyProtection="1">
      <alignment horizontal="center" vertical="center"/>
    </xf>
    <xf numFmtId="169" fontId="43" fillId="27" borderId="14" xfId="0" applyNumberFormat="1" applyFont="1" applyFill="1" applyBorder="1" applyAlignment="1" applyProtection="1">
      <alignment horizontal="center" vertical="center"/>
    </xf>
    <xf numFmtId="169" fontId="43" fillId="27" borderId="3" xfId="0" applyNumberFormat="1" applyFont="1" applyFill="1" applyBorder="1" applyAlignment="1" applyProtection="1">
      <alignment horizontal="center" vertical="center"/>
    </xf>
    <xf numFmtId="169" fontId="43" fillId="27" borderId="18" xfId="0" applyNumberFormat="1" applyFont="1" applyFill="1" applyBorder="1" applyAlignment="1" applyProtection="1">
      <alignment horizontal="center" vertical="center"/>
    </xf>
    <xf numFmtId="169" fontId="43" fillId="24" borderId="14" xfId="0" applyNumberFormat="1" applyFont="1" applyFill="1" applyBorder="1" applyAlignment="1" applyProtection="1">
      <alignment horizontal="center" vertical="center"/>
    </xf>
    <xf numFmtId="169" fontId="43" fillId="24" borderId="3" xfId="0" applyNumberFormat="1" applyFont="1" applyFill="1" applyBorder="1" applyAlignment="1" applyProtection="1">
      <alignment horizontal="center" vertical="center"/>
    </xf>
    <xf numFmtId="169" fontId="43" fillId="24" borderId="18" xfId="0" applyNumberFormat="1" applyFont="1" applyFill="1" applyBorder="1" applyAlignment="1" applyProtection="1">
      <alignment horizontal="center" vertical="center"/>
    </xf>
    <xf numFmtId="0" fontId="15" fillId="28" borderId="1" xfId="0" applyFont="1" applyFill="1" applyBorder="1" applyAlignment="1" applyProtection="1">
      <alignment horizontal="left" vertical="center"/>
    </xf>
    <xf numFmtId="0" fontId="15" fillId="28" borderId="16" xfId="0" applyFont="1" applyFill="1" applyBorder="1" applyAlignment="1" applyProtection="1">
      <alignment horizontal="left" vertical="center"/>
    </xf>
    <xf numFmtId="0" fontId="15" fillId="23" borderId="4" xfId="0" applyFont="1" applyFill="1" applyBorder="1" applyAlignment="1" applyProtection="1">
      <alignment horizontal="left" vertical="center"/>
    </xf>
    <xf numFmtId="0" fontId="15" fillId="23" borderId="1" xfId="0" applyFont="1" applyFill="1" applyBorder="1" applyAlignment="1" applyProtection="1">
      <alignment horizontal="left" vertical="center"/>
    </xf>
    <xf numFmtId="0" fontId="15" fillId="23" borderId="16" xfId="0" applyFont="1" applyFill="1" applyBorder="1" applyAlignment="1" applyProtection="1">
      <alignment horizontal="left" vertical="center"/>
    </xf>
    <xf numFmtId="0" fontId="15" fillId="26" borderId="4" xfId="0" applyFont="1" applyFill="1" applyBorder="1" applyAlignment="1" applyProtection="1">
      <alignment horizontal="left" vertical="center"/>
    </xf>
    <xf numFmtId="0" fontId="15" fillId="26" borderId="1" xfId="0" applyFont="1" applyFill="1" applyBorder="1" applyAlignment="1" applyProtection="1">
      <alignment horizontal="left" vertical="center"/>
    </xf>
    <xf numFmtId="0" fontId="15" fillId="26" borderId="16" xfId="0" applyFont="1" applyFill="1" applyBorder="1" applyAlignment="1" applyProtection="1">
      <alignment horizontal="left" vertical="center"/>
    </xf>
    <xf numFmtId="0" fontId="15" fillId="27" borderId="4" xfId="0" applyFont="1" applyFill="1" applyBorder="1" applyAlignment="1" applyProtection="1">
      <alignment horizontal="left" vertical="center"/>
    </xf>
    <xf numFmtId="0" fontId="15" fillId="27" borderId="1" xfId="0" applyFont="1" applyFill="1" applyBorder="1" applyAlignment="1" applyProtection="1">
      <alignment horizontal="left" vertical="center"/>
    </xf>
    <xf numFmtId="0" fontId="15" fillId="27" borderId="16" xfId="0" applyFont="1" applyFill="1" applyBorder="1" applyAlignment="1" applyProtection="1">
      <alignment horizontal="left" vertical="center"/>
    </xf>
    <xf numFmtId="0" fontId="15" fillId="24" borderId="4" xfId="0" applyFont="1" applyFill="1" applyBorder="1" applyAlignment="1" applyProtection="1">
      <alignment horizontal="left" vertical="center"/>
    </xf>
    <xf numFmtId="0" fontId="15" fillId="24" borderId="1" xfId="0" applyFont="1" applyFill="1" applyBorder="1" applyAlignment="1" applyProtection="1">
      <alignment horizontal="left" vertical="center"/>
    </xf>
    <xf numFmtId="0" fontId="15" fillId="24" borderId="16" xfId="0" applyFont="1" applyFill="1" applyBorder="1" applyAlignment="1" applyProtection="1">
      <alignment horizontal="left" vertical="center"/>
    </xf>
    <xf numFmtId="0" fontId="10" fillId="20" borderId="3" xfId="0" applyFont="1" applyFill="1" applyBorder="1" applyAlignment="1" applyProtection="1">
      <alignment horizontal="center" vertical="center"/>
    </xf>
    <xf numFmtId="0" fontId="30" fillId="28" borderId="3" xfId="0" applyFont="1" applyFill="1" applyBorder="1" applyAlignment="1" applyProtection="1">
      <alignment horizontal="center" vertical="center"/>
    </xf>
    <xf numFmtId="0" fontId="30" fillId="28" borderId="18" xfId="0" applyFont="1" applyFill="1" applyBorder="1" applyAlignment="1" applyProtection="1">
      <alignment horizontal="center" vertical="center"/>
    </xf>
    <xf numFmtId="0" fontId="30" fillId="25" borderId="14" xfId="0" applyNumberFormat="1" applyFont="1" applyFill="1" applyBorder="1" applyAlignment="1" applyProtection="1">
      <alignment horizontal="center" vertical="center"/>
    </xf>
    <xf numFmtId="0" fontId="30" fillId="25" borderId="3" xfId="0" applyNumberFormat="1" applyFont="1" applyFill="1" applyBorder="1" applyAlignment="1" applyProtection="1">
      <alignment horizontal="center" vertical="center"/>
    </xf>
    <xf numFmtId="0" fontId="30" fillId="25" borderId="18" xfId="0" applyNumberFormat="1" applyFont="1" applyFill="1" applyBorder="1" applyAlignment="1" applyProtection="1">
      <alignment horizontal="center" vertical="center"/>
    </xf>
    <xf numFmtId="0" fontId="30" fillId="26" borderId="14" xfId="0" applyFont="1" applyFill="1" applyBorder="1" applyAlignment="1" applyProtection="1">
      <alignment horizontal="center" vertical="center"/>
    </xf>
    <xf numFmtId="0" fontId="30" fillId="26" borderId="3" xfId="0" applyFont="1" applyFill="1" applyBorder="1" applyAlignment="1" applyProtection="1">
      <alignment horizontal="center" vertical="center"/>
    </xf>
    <xf numFmtId="0" fontId="30" fillId="26" borderId="18" xfId="0" applyFont="1" applyFill="1" applyBorder="1" applyAlignment="1" applyProtection="1">
      <alignment horizontal="center" vertical="center"/>
    </xf>
    <xf numFmtId="0" fontId="30" fillId="27" borderId="14" xfId="0" applyFont="1" applyFill="1" applyBorder="1" applyAlignment="1" applyProtection="1">
      <alignment horizontal="center" vertical="center"/>
    </xf>
    <xf numFmtId="0" fontId="30" fillId="27" borderId="3" xfId="0" applyFont="1" applyFill="1" applyBorder="1" applyAlignment="1" applyProtection="1">
      <alignment horizontal="center" vertical="center"/>
    </xf>
    <xf numFmtId="0" fontId="30" fillId="27" borderId="18" xfId="0" applyFont="1" applyFill="1" applyBorder="1" applyAlignment="1" applyProtection="1">
      <alignment horizontal="center" vertical="center"/>
    </xf>
    <xf numFmtId="0" fontId="30" fillId="24" borderId="14" xfId="0" applyFont="1" applyFill="1" applyBorder="1" applyAlignment="1" applyProtection="1">
      <alignment horizontal="center" vertical="center"/>
    </xf>
    <xf numFmtId="0" fontId="30" fillId="24" borderId="3" xfId="0" applyFont="1" applyFill="1" applyBorder="1" applyAlignment="1" applyProtection="1">
      <alignment horizontal="center" vertical="center"/>
    </xf>
    <xf numFmtId="0" fontId="30" fillId="24" borderId="18" xfId="0" applyFont="1" applyFill="1" applyBorder="1" applyAlignment="1" applyProtection="1">
      <alignment horizontal="center" vertical="center"/>
    </xf>
    <xf numFmtId="0" fontId="0" fillId="15" borderId="0" xfId="0" applyFill="1" applyAlignment="1" applyProtection="1">
      <alignment horizontal="center"/>
    </xf>
    <xf numFmtId="0" fontId="10" fillId="35" borderId="72" xfId="0" applyFont="1" applyFill="1" applyBorder="1" applyAlignment="1" applyProtection="1">
      <alignment horizontal="center" vertical="center"/>
      <protection locked="0"/>
    </xf>
    <xf numFmtId="0" fontId="10" fillId="35" borderId="45" xfId="0" applyFont="1" applyFill="1" applyBorder="1" applyAlignment="1" applyProtection="1">
      <alignment horizontal="center" vertical="center"/>
      <protection locked="0"/>
    </xf>
    <xf numFmtId="0" fontId="9" fillId="35" borderId="48" xfId="0" applyFont="1" applyFill="1" applyBorder="1" applyAlignment="1" applyProtection="1">
      <alignment horizontal="center" vertical="center"/>
      <protection locked="0"/>
    </xf>
    <xf numFmtId="0" fontId="30" fillId="5" borderId="74" xfId="0" applyFont="1" applyFill="1" applyBorder="1" applyAlignment="1" applyProtection="1">
      <alignment horizontal="left" vertical="center"/>
    </xf>
    <xf numFmtId="0" fontId="16" fillId="3" borderId="1" xfId="0" applyFont="1" applyFill="1" applyBorder="1" applyAlignment="1">
      <alignment horizontal="center" vertical="center"/>
    </xf>
    <xf numFmtId="0" fontId="42" fillId="0" borderId="1" xfId="0" applyFont="1" applyBorder="1" applyAlignment="1">
      <alignment horizontal="left" vertical="center"/>
    </xf>
    <xf numFmtId="0" fontId="42" fillId="0" borderId="1" xfId="0" applyFont="1" applyBorder="1" applyAlignment="1">
      <alignment horizontal="center" vertical="center"/>
    </xf>
    <xf numFmtId="0" fontId="30" fillId="0" borderId="1" xfId="0" applyFont="1" applyBorder="1" applyAlignment="1">
      <alignment horizontal="left" vertical="center"/>
    </xf>
    <xf numFmtId="0" fontId="30" fillId="0" borderId="1" xfId="0" applyFont="1" applyBorder="1" applyAlignment="1">
      <alignment horizontal="center" vertical="center"/>
    </xf>
    <xf numFmtId="0" fontId="31" fillId="6" borderId="1" xfId="0" applyFont="1" applyFill="1" applyBorder="1" applyAlignment="1" applyProtection="1">
      <alignment horizontal="left" vertical="center"/>
    </xf>
    <xf numFmtId="0" fontId="12" fillId="6" borderId="1" xfId="0" applyFont="1" applyFill="1" applyBorder="1" applyAlignment="1" applyProtection="1">
      <alignment vertical="center"/>
    </xf>
    <xf numFmtId="0" fontId="12" fillId="6" borderId="1" xfId="0" applyFont="1" applyFill="1" applyBorder="1" applyAlignment="1" applyProtection="1">
      <alignment horizontal="left" vertical="center"/>
    </xf>
    <xf numFmtId="0" fontId="12" fillId="6" borderId="3" xfId="0" applyFont="1" applyFill="1" applyBorder="1" applyAlignment="1" applyProtection="1">
      <alignment vertical="center"/>
    </xf>
    <xf numFmtId="169" fontId="12" fillId="6" borderId="3" xfId="0" applyNumberFormat="1" applyFont="1" applyFill="1" applyBorder="1" applyAlignment="1" applyProtection="1">
      <alignment vertical="center"/>
    </xf>
    <xf numFmtId="0" fontId="12" fillId="6" borderId="1" xfId="0" applyFont="1" applyFill="1" applyBorder="1" applyAlignment="1" applyProtection="1">
      <alignment horizontal="center" vertical="center"/>
    </xf>
    <xf numFmtId="0" fontId="44" fillId="14" borderId="0" xfId="0" applyFont="1" applyFill="1" applyAlignment="1" applyProtection="1">
      <alignment horizontal="left" vertical="center" indent="1"/>
    </xf>
    <xf numFmtId="0" fontId="41" fillId="14" borderId="0" xfId="0" applyFont="1" applyFill="1" applyAlignment="1" applyProtection="1">
      <alignment horizontal="left" vertical="center" indent="1"/>
    </xf>
    <xf numFmtId="167" fontId="44" fillId="0" borderId="5" xfId="0" applyNumberFormat="1" applyFont="1" applyFill="1" applyBorder="1" applyAlignment="1" applyProtection="1">
      <alignment horizontal="left" vertical="center"/>
      <protection locked="0"/>
    </xf>
    <xf numFmtId="0" fontId="41" fillId="14" borderId="0" xfId="0" applyFont="1" applyFill="1" applyAlignment="1" applyProtection="1">
      <alignment horizontal="left" vertical="top" indent="1"/>
    </xf>
    <xf numFmtId="165" fontId="44" fillId="0" borderId="5" xfId="0" applyNumberFormat="1" applyFont="1" applyFill="1" applyBorder="1" applyAlignment="1" applyProtection="1">
      <alignment horizontal="left" vertical="center"/>
      <protection locked="0"/>
    </xf>
    <xf numFmtId="166" fontId="44" fillId="0" borderId="5" xfId="0" applyNumberFormat="1" applyFont="1" applyFill="1" applyBorder="1" applyAlignment="1" applyProtection="1">
      <alignment horizontal="left" vertical="center"/>
      <protection locked="0"/>
    </xf>
    <xf numFmtId="0" fontId="45" fillId="14" borderId="0" xfId="0" applyFont="1" applyFill="1" applyAlignment="1" applyProtection="1">
      <alignment horizontal="left" vertical="center" indent="1"/>
    </xf>
    <xf numFmtId="0" fontId="40" fillId="12" borderId="1" xfId="0" applyFont="1" applyFill="1" applyBorder="1" applyAlignment="1" applyProtection="1">
      <alignment horizontal="left" vertical="center"/>
    </xf>
    <xf numFmtId="0" fontId="40" fillId="12" borderId="37" xfId="0" applyFont="1" applyFill="1" applyBorder="1" applyAlignment="1" applyProtection="1">
      <alignment horizontal="left" vertical="center"/>
    </xf>
    <xf numFmtId="0" fontId="23" fillId="12" borderId="3" xfId="0" applyFont="1" applyFill="1" applyBorder="1" applyAlignment="1" applyProtection="1">
      <alignment horizontal="left" vertical="center"/>
    </xf>
    <xf numFmtId="0" fontId="23" fillId="12" borderId="3" xfId="0" applyFont="1" applyFill="1" applyBorder="1" applyAlignment="1" applyProtection="1">
      <alignment vertical="center"/>
    </xf>
    <xf numFmtId="0" fontId="18" fillId="12" borderId="3" xfId="0" applyFont="1" applyFill="1" applyBorder="1" applyAlignment="1" applyProtection="1">
      <alignment vertical="center"/>
    </xf>
    <xf numFmtId="0" fontId="10" fillId="35" borderId="75" xfId="0" applyFont="1" applyFill="1" applyBorder="1" applyAlignment="1" applyProtection="1">
      <alignment horizontal="left" vertical="center" indent="1"/>
      <protection locked="0"/>
    </xf>
    <xf numFmtId="0" fontId="17" fillId="0" borderId="6" xfId="0" applyFont="1" applyFill="1" applyBorder="1" applyAlignment="1">
      <alignment horizontal="left" vertical="center"/>
    </xf>
    <xf numFmtId="0" fontId="9" fillId="0" borderId="0" xfId="0" applyFont="1" applyFill="1" applyAlignment="1">
      <alignment horizontal="right" vertical="center"/>
    </xf>
    <xf numFmtId="0" fontId="10" fillId="11" borderId="1" xfId="0" applyFont="1" applyFill="1" applyBorder="1" applyAlignment="1">
      <alignment horizontal="right" vertical="center" indent="1"/>
    </xf>
    <xf numFmtId="0" fontId="21" fillId="4" borderId="1" xfId="0" applyFont="1" applyFill="1" applyBorder="1" applyAlignment="1">
      <alignment horizontal="right" vertical="center" indent="1"/>
    </xf>
    <xf numFmtId="0" fontId="9" fillId="3" borderId="1" xfId="0" applyFont="1" applyFill="1" applyBorder="1" applyAlignment="1">
      <alignment horizontal="right" vertical="center" indent="1"/>
    </xf>
    <xf numFmtId="0" fontId="31" fillId="5" borderId="1" xfId="0" applyFont="1" applyFill="1" applyBorder="1" applyAlignment="1">
      <alignment horizontal="left" vertical="center"/>
    </xf>
    <xf numFmtId="0" fontId="46" fillId="0" borderId="6" xfId="0" applyFont="1" applyFill="1" applyBorder="1" applyAlignment="1">
      <alignment horizontal="left" vertical="center"/>
    </xf>
    <xf numFmtId="0" fontId="30" fillId="13" borderId="5" xfId="0" applyFont="1" applyFill="1" applyBorder="1" applyAlignment="1" applyProtection="1">
      <alignment horizontal="center" vertical="center"/>
    </xf>
    <xf numFmtId="0" fontId="30" fillId="5" borderId="5" xfId="0" applyFont="1" applyFill="1" applyBorder="1" applyAlignment="1" applyProtection="1">
      <alignment horizontal="center" vertical="center"/>
    </xf>
    <xf numFmtId="0" fontId="29" fillId="18" borderId="0" xfId="0" applyFont="1" applyFill="1" applyAlignment="1" applyProtection="1">
      <alignment horizontal="center" vertical="center"/>
    </xf>
    <xf numFmtId="0" fontId="30" fillId="15" borderId="0" xfId="0" applyFont="1" applyFill="1" applyAlignment="1" applyProtection="1">
      <alignment horizontal="center" vertical="center"/>
    </xf>
    <xf numFmtId="0" fontId="30" fillId="15" borderId="0" xfId="0" applyFont="1" applyFill="1" applyBorder="1" applyAlignment="1" applyProtection="1">
      <alignment horizontal="center" vertical="center"/>
    </xf>
    <xf numFmtId="0" fontId="30" fillId="18" borderId="0" xfId="0" applyFont="1" applyFill="1" applyBorder="1" applyAlignment="1" applyProtection="1">
      <alignment horizontal="center" vertical="center"/>
    </xf>
    <xf numFmtId="0" fontId="17" fillId="18" borderId="0" xfId="0" applyFont="1" applyFill="1" applyAlignment="1" applyProtection="1">
      <alignment horizontal="center" vertical="center"/>
    </xf>
    <xf numFmtId="164" fontId="30" fillId="15" borderId="0" xfId="0" applyNumberFormat="1" applyFont="1" applyFill="1" applyAlignment="1" applyProtection="1">
      <alignment horizontal="center" vertical="center"/>
    </xf>
    <xf numFmtId="0" fontId="17" fillId="19" borderId="0" xfId="0" applyFont="1" applyFill="1" applyAlignment="1" applyProtection="1">
      <alignment horizontal="center" vertical="center"/>
    </xf>
    <xf numFmtId="0" fontId="30" fillId="5" borderId="5" xfId="0" applyNumberFormat="1" applyFont="1" applyFill="1" applyBorder="1" applyAlignment="1" applyProtection="1">
      <alignment horizontal="center" vertical="center" wrapText="1" shrinkToFit="1"/>
    </xf>
    <xf numFmtId="0" fontId="30" fillId="18" borderId="0" xfId="0" applyFont="1" applyFill="1" applyAlignment="1" applyProtection="1">
      <alignment horizontal="center" vertical="center"/>
    </xf>
    <xf numFmtId="0" fontId="11" fillId="37" borderId="5" xfId="0" applyFont="1" applyFill="1" applyBorder="1" applyAlignment="1" applyProtection="1">
      <alignment horizontal="center" vertical="center"/>
    </xf>
    <xf numFmtId="0" fontId="30" fillId="16" borderId="5" xfId="0" applyFont="1" applyFill="1" applyBorder="1" applyAlignment="1" applyProtection="1">
      <alignment horizontal="center" vertical="center"/>
    </xf>
    <xf numFmtId="0" fontId="30" fillId="3" borderId="5" xfId="0" applyFont="1" applyFill="1" applyBorder="1" applyAlignment="1" applyProtection="1">
      <alignment horizontal="center" vertical="center"/>
    </xf>
    <xf numFmtId="22" fontId="10" fillId="8" borderId="5" xfId="0" applyNumberFormat="1" applyFont="1" applyFill="1" applyBorder="1" applyAlignment="1" applyProtection="1">
      <alignment horizontal="left" vertical="center"/>
    </xf>
    <xf numFmtId="0" fontId="38" fillId="18" borderId="0" xfId="0" applyFont="1" applyFill="1" applyAlignment="1" applyProtection="1">
      <alignment horizontal="center" vertical="center"/>
    </xf>
    <xf numFmtId="0" fontId="38" fillId="15" borderId="0" xfId="0" applyFont="1" applyFill="1" applyAlignment="1" applyProtection="1">
      <alignment horizontal="center" vertical="center"/>
    </xf>
    <xf numFmtId="0" fontId="47" fillId="15" borderId="0" xfId="0" applyFont="1" applyFill="1" applyAlignment="1" applyProtection="1">
      <alignment horizontal="center" vertical="center" wrapText="1"/>
    </xf>
    <xf numFmtId="0" fontId="38" fillId="19" borderId="0" xfId="0" applyFont="1" applyFill="1" applyAlignment="1" applyProtection="1">
      <alignment horizontal="center" vertical="center"/>
    </xf>
    <xf numFmtId="0" fontId="24" fillId="14" borderId="0" xfId="0" applyFont="1" applyFill="1" applyAlignment="1" applyProtection="1">
      <alignment horizontal="left" vertical="center" indent="2"/>
    </xf>
    <xf numFmtId="0" fontId="24" fillId="14" borderId="0" xfId="0" applyFont="1" applyFill="1" applyAlignment="1" applyProtection="1">
      <alignment horizontal="left" vertical="top" indent="2"/>
    </xf>
    <xf numFmtId="0" fontId="18" fillId="13" borderId="5" xfId="0" applyFont="1" applyFill="1" applyBorder="1" applyAlignment="1" applyProtection="1">
      <alignment vertical="center"/>
      <protection locked="0"/>
    </xf>
    <xf numFmtId="0" fontId="15" fillId="5" borderId="4" xfId="0" applyFont="1" applyFill="1" applyBorder="1" applyAlignment="1">
      <alignment horizontal="left" vertical="center"/>
    </xf>
    <xf numFmtId="0" fontId="16" fillId="3" borderId="4" xfId="0" applyFont="1" applyFill="1" applyBorder="1" applyAlignment="1">
      <alignment horizontal="left" vertical="center"/>
    </xf>
    <xf numFmtId="0" fontId="15" fillId="4" borderId="4" xfId="0" applyFont="1" applyFill="1" applyBorder="1" applyAlignment="1">
      <alignment horizontal="left" vertical="center"/>
    </xf>
    <xf numFmtId="0" fontId="15" fillId="5" borderId="11" xfId="0" applyFont="1" applyFill="1" applyBorder="1" applyAlignment="1">
      <alignment horizontal="left" vertical="center"/>
    </xf>
    <xf numFmtId="0" fontId="15" fillId="4" borderId="11" xfId="0" applyFont="1" applyFill="1" applyBorder="1" applyAlignment="1">
      <alignment horizontal="left" vertical="center"/>
    </xf>
    <xf numFmtId="0" fontId="16" fillId="3" borderId="11" xfId="0" applyFont="1" applyFill="1" applyBorder="1" applyAlignment="1">
      <alignment horizontal="left" vertical="center"/>
    </xf>
    <xf numFmtId="0" fontId="2" fillId="19" borderId="0" xfId="0" applyFont="1" applyFill="1" applyAlignment="1" applyProtection="1">
      <alignment vertical="center"/>
    </xf>
    <xf numFmtId="0" fontId="2" fillId="19" borderId="0" xfId="0" applyFont="1" applyFill="1" applyAlignment="1" applyProtection="1">
      <alignment horizontal="left" vertical="center" indent="1"/>
    </xf>
    <xf numFmtId="0" fontId="2" fillId="19" borderId="0" xfId="0" applyFont="1" applyFill="1" applyAlignment="1" applyProtection="1">
      <alignment horizontal="left" vertical="center" indent="2"/>
    </xf>
    <xf numFmtId="0" fontId="2" fillId="19" borderId="0" xfId="0" applyFont="1" applyFill="1" applyAlignment="1" applyProtection="1">
      <alignment horizontal="center" vertical="center"/>
    </xf>
    <xf numFmtId="0" fontId="2" fillId="15" borderId="0" xfId="0" applyFont="1" applyFill="1" applyAlignment="1" applyProtection="1">
      <alignment vertical="center"/>
    </xf>
    <xf numFmtId="0" fontId="2" fillId="15" borderId="0" xfId="0" applyFont="1" applyFill="1" applyAlignment="1" applyProtection="1">
      <alignment horizontal="left" vertical="center" indent="1"/>
    </xf>
    <xf numFmtId="0" fontId="2" fillId="15" borderId="0" xfId="0" applyFont="1" applyFill="1" applyAlignment="1" applyProtection="1">
      <alignment horizontal="left" vertical="center" indent="2"/>
    </xf>
    <xf numFmtId="0" fontId="2" fillId="4" borderId="5" xfId="0" applyFont="1" applyFill="1" applyBorder="1" applyAlignment="1" applyProtection="1">
      <alignment vertical="center"/>
      <protection locked="0"/>
    </xf>
    <xf numFmtId="0" fontId="2" fillId="18" borderId="0" xfId="0" applyFont="1" applyFill="1" applyAlignment="1" applyProtection="1">
      <alignment vertical="center"/>
    </xf>
    <xf numFmtId="0" fontId="2" fillId="3" borderId="5" xfId="0" applyFont="1" applyFill="1" applyBorder="1" applyAlignment="1" applyProtection="1">
      <alignment vertical="center"/>
      <protection locked="0"/>
    </xf>
    <xf numFmtId="0" fontId="2" fillId="18" borderId="0" xfId="0" applyFont="1" applyFill="1" applyAlignment="1" applyProtection="1">
      <alignment horizontal="left" vertical="center" indent="1"/>
    </xf>
    <xf numFmtId="0" fontId="2" fillId="15" borderId="0" xfId="0" applyFont="1" applyFill="1" applyBorder="1" applyAlignment="1" applyProtection="1">
      <alignment vertical="center"/>
    </xf>
    <xf numFmtId="0" fontId="25" fillId="14" borderId="0" xfId="0" applyFont="1" applyFill="1" applyAlignment="1" applyProtection="1">
      <alignment horizontal="left" vertical="center" indent="1"/>
    </xf>
    <xf numFmtId="0" fontId="48" fillId="14" borderId="0" xfId="0" applyFont="1" applyFill="1" applyAlignment="1" applyProtection="1">
      <alignment horizontal="left" vertical="center" indent="1"/>
    </xf>
    <xf numFmtId="0" fontId="12" fillId="11" borderId="0" xfId="0" applyFont="1" applyFill="1" applyAlignment="1" applyProtection="1">
      <alignment horizontal="left" vertical="center"/>
      <protection locked="0"/>
    </xf>
    <xf numFmtId="0" fontId="12" fillId="11" borderId="22" xfId="0" applyFont="1" applyFill="1" applyBorder="1" applyAlignment="1" applyProtection="1">
      <alignment horizontal="left" vertical="center"/>
      <protection locked="0"/>
    </xf>
    <xf numFmtId="0" fontId="12" fillId="11" borderId="23" xfId="0" applyFont="1" applyFill="1" applyBorder="1" applyAlignment="1" applyProtection="1">
      <alignment horizontal="left" vertical="center"/>
      <protection locked="0"/>
    </xf>
    <xf numFmtId="0" fontId="10" fillId="8" borderId="9" xfId="0" applyFont="1" applyFill="1" applyBorder="1" applyAlignment="1" applyProtection="1">
      <alignment horizontal="left" vertical="top"/>
      <protection locked="0"/>
    </xf>
    <xf numFmtId="0" fontId="10" fillId="8" borderId="13" xfId="0" applyFont="1" applyFill="1" applyBorder="1" applyAlignment="1" applyProtection="1">
      <alignment horizontal="left" vertical="top"/>
      <protection locked="0"/>
    </xf>
    <xf numFmtId="165" fontId="21" fillId="35" borderId="46" xfId="0" applyNumberFormat="1" applyFont="1" applyFill="1" applyBorder="1" applyAlignment="1" applyProtection="1">
      <alignment horizontal="left" vertical="center" indent="1"/>
      <protection locked="0"/>
    </xf>
    <xf numFmtId="0" fontId="9" fillId="35" borderId="76" xfId="0" applyFont="1" applyFill="1" applyBorder="1" applyAlignment="1" applyProtection="1">
      <alignment horizontal="left" vertical="center" indent="1"/>
      <protection locked="0"/>
    </xf>
    <xf numFmtId="0" fontId="10" fillId="35" borderId="77" xfId="0" applyFont="1" applyFill="1" applyBorder="1" applyAlignment="1" applyProtection="1">
      <alignment horizontal="left" vertical="center" indent="1"/>
      <protection locked="0"/>
    </xf>
    <xf numFmtId="0" fontId="10" fillId="35" borderId="78" xfId="0" applyFont="1" applyFill="1" applyBorder="1" applyAlignment="1" applyProtection="1">
      <alignment horizontal="left" vertical="center" indent="1"/>
      <protection locked="0"/>
    </xf>
    <xf numFmtId="0" fontId="12" fillId="11" borderId="32" xfId="0" applyFont="1" applyFill="1" applyBorder="1" applyAlignment="1" applyProtection="1">
      <alignment horizontal="left" vertical="center"/>
      <protection locked="0"/>
    </xf>
    <xf numFmtId="0" fontId="9" fillId="11" borderId="22" xfId="0" applyFont="1" applyFill="1" applyBorder="1" applyAlignment="1" applyProtection="1">
      <alignment horizontal="left" vertical="center"/>
      <protection locked="0"/>
    </xf>
    <xf numFmtId="0" fontId="49" fillId="21" borderId="10" xfId="0" applyFont="1" applyFill="1" applyBorder="1" applyAlignment="1" applyProtection="1">
      <alignment horizontal="left" vertical="center"/>
    </xf>
    <xf numFmtId="0" fontId="49" fillId="21" borderId="1" xfId="0" applyFont="1" applyFill="1" applyBorder="1" applyAlignment="1" applyProtection="1">
      <alignment horizontal="left" vertical="center"/>
    </xf>
    <xf numFmtId="0" fontId="41" fillId="15" borderId="79" xfId="0" applyFont="1" applyFill="1" applyBorder="1" applyAlignment="1" applyProtection="1">
      <alignment horizontal="left" vertical="center"/>
      <protection locked="0"/>
    </xf>
    <xf numFmtId="165" fontId="10" fillId="35" borderId="69" xfId="0" applyNumberFormat="1" applyFont="1" applyFill="1" applyBorder="1" applyAlignment="1" applyProtection="1">
      <alignment horizontal="left" vertical="center" indent="1"/>
      <protection locked="0"/>
    </xf>
    <xf numFmtId="0" fontId="30" fillId="8" borderId="80" xfId="0" applyFont="1" applyFill="1" applyBorder="1" applyAlignment="1" applyProtection="1">
      <alignment horizontal="left" vertical="top" wrapText="1"/>
      <protection locked="0"/>
    </xf>
    <xf numFmtId="0" fontId="9" fillId="11" borderId="0" xfId="0" applyFont="1" applyFill="1" applyAlignment="1" applyProtection="1">
      <alignment horizontal="left" vertical="center"/>
      <protection locked="0"/>
    </xf>
    <xf numFmtId="0" fontId="12" fillId="11" borderId="34" xfId="0" applyFont="1" applyFill="1" applyBorder="1" applyAlignment="1" applyProtection="1">
      <alignment horizontal="left" vertical="center"/>
      <protection locked="0"/>
    </xf>
    <xf numFmtId="0" fontId="50" fillId="12" borderId="37" xfId="0" applyFont="1" applyFill="1" applyBorder="1" applyAlignment="1" applyProtection="1">
      <alignment horizontal="left" vertical="center"/>
    </xf>
    <xf numFmtId="0" fontId="12" fillId="11" borderId="35" xfId="0" applyFont="1" applyFill="1" applyBorder="1" applyAlignment="1" applyProtection="1">
      <alignment horizontal="left" vertical="center"/>
      <protection locked="0"/>
    </xf>
    <xf numFmtId="0" fontId="41" fillId="11" borderId="44" xfId="0" applyFont="1" applyFill="1" applyBorder="1" applyAlignment="1" applyProtection="1">
      <alignment horizontal="left" vertical="center" indent="1"/>
      <protection locked="0"/>
    </xf>
    <xf numFmtId="0" fontId="41" fillId="11" borderId="45" xfId="0" applyFont="1" applyFill="1" applyBorder="1" applyAlignment="1" applyProtection="1">
      <alignment horizontal="left" vertical="center" indent="1"/>
      <protection locked="0"/>
    </xf>
    <xf numFmtId="0" fontId="41" fillId="11" borderId="69" xfId="0" applyFont="1" applyFill="1" applyBorder="1" applyAlignment="1" applyProtection="1">
      <alignment horizontal="left" vertical="center" indent="1"/>
      <protection locked="0"/>
    </xf>
    <xf numFmtId="0" fontId="41" fillId="11" borderId="66" xfId="0" applyFont="1" applyFill="1" applyBorder="1" applyAlignment="1" applyProtection="1">
      <alignment horizontal="left" vertical="center" indent="1"/>
      <protection locked="0"/>
    </xf>
    <xf numFmtId="0" fontId="41" fillId="11" borderId="43" xfId="0" applyFont="1" applyFill="1" applyBorder="1" applyAlignment="1" applyProtection="1">
      <alignment horizontal="left" vertical="center" indent="1"/>
      <protection locked="0"/>
    </xf>
    <xf numFmtId="0" fontId="41" fillId="11" borderId="42" xfId="0" applyFont="1" applyFill="1" applyBorder="1" applyAlignment="1" applyProtection="1">
      <alignment horizontal="left" vertical="center" indent="1"/>
      <protection locked="0"/>
    </xf>
    <xf numFmtId="0" fontId="41" fillId="11" borderId="46" xfId="0" applyFont="1" applyFill="1" applyBorder="1" applyAlignment="1" applyProtection="1">
      <alignment horizontal="left" vertical="center" indent="1"/>
      <protection locked="0"/>
    </xf>
    <xf numFmtId="0" fontId="10" fillId="15" borderId="0" xfId="0" applyFont="1" applyFill="1" applyBorder="1" applyAlignment="1" applyProtection="1">
      <alignment horizontal="left" vertical="center" indent="1"/>
      <protection locked="0"/>
    </xf>
    <xf numFmtId="0" fontId="30" fillId="28" borderId="9" xfId="0" applyFont="1" applyFill="1" applyBorder="1" applyAlignment="1" applyProtection="1">
      <alignment horizontal="left" vertical="center"/>
    </xf>
    <xf numFmtId="0" fontId="30" fillId="28" borderId="17" xfId="0" applyFont="1" applyFill="1" applyBorder="1" applyAlignment="1" applyProtection="1">
      <alignment horizontal="left" vertical="center"/>
    </xf>
    <xf numFmtId="0" fontId="30" fillId="25" borderId="13" xfId="0" applyFont="1" applyFill="1" applyBorder="1" applyAlignment="1" applyProtection="1">
      <alignment horizontal="left" vertical="center"/>
    </xf>
    <xf numFmtId="0" fontId="30" fillId="25" borderId="9" xfId="0" applyFont="1" applyFill="1" applyBorder="1" applyAlignment="1" applyProtection="1">
      <alignment horizontal="left" vertical="center"/>
    </xf>
    <xf numFmtId="0" fontId="30" fillId="25" borderId="17" xfId="0" applyFont="1" applyFill="1" applyBorder="1" applyAlignment="1" applyProtection="1">
      <alignment horizontal="left" vertical="center"/>
    </xf>
    <xf numFmtId="0" fontId="30" fillId="26" borderId="13" xfId="0" applyFont="1" applyFill="1" applyBorder="1" applyAlignment="1" applyProtection="1">
      <alignment horizontal="left" vertical="center"/>
    </xf>
    <xf numFmtId="0" fontId="30" fillId="26" borderId="9" xfId="0" applyFont="1" applyFill="1" applyBorder="1" applyAlignment="1" applyProtection="1">
      <alignment horizontal="left" vertical="center"/>
    </xf>
    <xf numFmtId="0" fontId="30" fillId="26" borderId="17" xfId="0" applyFont="1" applyFill="1" applyBorder="1" applyAlignment="1" applyProtection="1">
      <alignment horizontal="left" vertical="center"/>
    </xf>
    <xf numFmtId="0" fontId="30" fillId="27" borderId="13" xfId="0" applyFont="1" applyFill="1" applyBorder="1" applyAlignment="1" applyProtection="1">
      <alignment horizontal="left" vertical="center"/>
    </xf>
    <xf numFmtId="0" fontId="30" fillId="27" borderId="9" xfId="0" applyFont="1" applyFill="1" applyBorder="1" applyAlignment="1" applyProtection="1">
      <alignment horizontal="left" vertical="center"/>
    </xf>
    <xf numFmtId="0" fontId="30" fillId="27" borderId="17" xfId="0" applyFont="1" applyFill="1" applyBorder="1" applyAlignment="1" applyProtection="1">
      <alignment horizontal="left" vertical="center"/>
    </xf>
    <xf numFmtId="0" fontId="30" fillId="24" borderId="13" xfId="0" applyFont="1" applyFill="1" applyBorder="1" applyAlignment="1" applyProtection="1">
      <alignment horizontal="left" vertical="center"/>
    </xf>
    <xf numFmtId="0" fontId="30" fillId="24" borderId="9" xfId="0" applyFont="1" applyFill="1" applyBorder="1" applyAlignment="1" applyProtection="1">
      <alignment horizontal="left" vertical="center"/>
    </xf>
    <xf numFmtId="0" fontId="30" fillId="24" borderId="17" xfId="0" applyFont="1" applyFill="1" applyBorder="1" applyAlignment="1" applyProtection="1">
      <alignment horizontal="left" vertical="center"/>
    </xf>
    <xf numFmtId="0" fontId="30" fillId="28" borderId="3" xfId="0" applyFont="1" applyFill="1" applyBorder="1" applyAlignment="1" applyProtection="1">
      <alignment horizontal="left" vertical="center"/>
    </xf>
    <xf numFmtId="0" fontId="30" fillId="25" borderId="14" xfId="0" applyFont="1" applyFill="1" applyBorder="1" applyAlignment="1" applyProtection="1">
      <alignment horizontal="left" vertical="center"/>
    </xf>
    <xf numFmtId="0" fontId="30" fillId="25" borderId="3" xfId="0" applyFont="1" applyFill="1" applyBorder="1" applyAlignment="1" applyProtection="1">
      <alignment horizontal="left" vertical="center"/>
    </xf>
    <xf numFmtId="0" fontId="30" fillId="25" borderId="18" xfId="0" applyFont="1" applyFill="1" applyBorder="1" applyAlignment="1" applyProtection="1">
      <alignment horizontal="left" vertical="center"/>
    </xf>
    <xf numFmtId="0" fontId="30" fillId="26" borderId="14" xfId="0" applyFont="1" applyFill="1" applyBorder="1" applyAlignment="1" applyProtection="1">
      <alignment horizontal="left" vertical="center"/>
    </xf>
    <xf numFmtId="0" fontId="30" fillId="26" borderId="3" xfId="0" applyFont="1" applyFill="1" applyBorder="1" applyAlignment="1" applyProtection="1">
      <alignment horizontal="left" vertical="center"/>
    </xf>
    <xf numFmtId="0" fontId="30" fillId="26" borderId="18" xfId="0" applyFont="1" applyFill="1" applyBorder="1" applyAlignment="1" applyProtection="1">
      <alignment horizontal="left" vertical="center"/>
    </xf>
    <xf numFmtId="0" fontId="30" fillId="27" borderId="14" xfId="0" applyFont="1" applyFill="1" applyBorder="1" applyAlignment="1" applyProtection="1">
      <alignment horizontal="left" vertical="center"/>
    </xf>
    <xf numFmtId="0" fontId="30" fillId="27" borderId="3" xfId="0" applyFont="1" applyFill="1" applyBorder="1" applyAlignment="1" applyProtection="1">
      <alignment horizontal="left" vertical="center"/>
    </xf>
    <xf numFmtId="0" fontId="30" fillId="27" borderId="18" xfId="0" applyFont="1" applyFill="1" applyBorder="1" applyAlignment="1" applyProtection="1">
      <alignment horizontal="left" vertical="center"/>
    </xf>
    <xf numFmtId="0" fontId="30" fillId="24" borderId="14" xfId="0" applyFont="1" applyFill="1" applyBorder="1" applyAlignment="1" applyProtection="1">
      <alignment horizontal="left" vertical="center"/>
    </xf>
    <xf numFmtId="0" fontId="30" fillId="24" borderId="3" xfId="0" applyFont="1" applyFill="1" applyBorder="1" applyAlignment="1" applyProtection="1">
      <alignment horizontal="left" vertical="center"/>
    </xf>
    <xf numFmtId="0" fontId="30" fillId="24" borderId="18" xfId="0" applyFont="1" applyFill="1" applyBorder="1" applyAlignment="1" applyProtection="1">
      <alignment horizontal="left" vertical="center"/>
    </xf>
    <xf numFmtId="0" fontId="10" fillId="15" borderId="0" xfId="0" applyFont="1" applyFill="1" applyAlignment="1" applyProtection="1">
      <alignment horizontal="left" vertical="center" indent="2"/>
    </xf>
    <xf numFmtId="0" fontId="22" fillId="14" borderId="0" xfId="0" applyFont="1" applyFill="1" applyAlignment="1" applyProtection="1">
      <alignment horizontal="left" vertical="top" wrapText="1" indent="2"/>
    </xf>
    <xf numFmtId="0" fontId="40" fillId="21" borderId="1" xfId="0" applyFont="1" applyFill="1" applyBorder="1" applyAlignment="1" applyProtection="1">
      <alignment horizontal="left" vertical="center" wrapText="1"/>
    </xf>
    <xf numFmtId="0" fontId="30" fillId="5" borderId="5" xfId="0" applyFont="1" applyFill="1" applyBorder="1" applyAlignment="1" applyProtection="1">
      <alignment horizontal="left" vertical="top" wrapText="1"/>
    </xf>
    <xf numFmtId="0" fontId="22" fillId="15" borderId="0" xfId="0" applyFont="1" applyFill="1" applyAlignment="1" applyProtection="1">
      <alignment horizontal="left" vertical="center" indent="1"/>
    </xf>
    <xf numFmtId="0" fontId="42" fillId="13" borderId="1" xfId="0" applyFont="1" applyFill="1" applyBorder="1" applyAlignment="1">
      <alignment horizontal="left" vertical="center"/>
    </xf>
    <xf numFmtId="0" fontId="1" fillId="2" borderId="0" xfId="0" applyFont="1" applyFill="1" applyBorder="1" applyAlignment="1" applyProtection="1">
      <alignment horizontal="center" vertical="center"/>
    </xf>
    <xf numFmtId="0" fontId="9" fillId="35" borderId="45" xfId="0" applyFont="1" applyFill="1" applyBorder="1" applyAlignment="1" applyProtection="1">
      <alignment horizontal="left" vertical="center" indent="1"/>
      <protection locked="0"/>
    </xf>
    <xf numFmtId="164" fontId="9" fillId="35" borderId="45" xfId="0" applyNumberFormat="1" applyFont="1" applyFill="1" applyBorder="1" applyAlignment="1" applyProtection="1">
      <alignment horizontal="left" vertical="center" indent="1"/>
      <protection locked="0"/>
    </xf>
    <xf numFmtId="0" fontId="9" fillId="35" borderId="42" xfId="0" applyFont="1" applyFill="1" applyBorder="1" applyAlignment="1" applyProtection="1">
      <alignment horizontal="left" vertical="center" indent="1"/>
      <protection locked="0"/>
    </xf>
    <xf numFmtId="164" fontId="9" fillId="35" borderId="43" xfId="0" applyNumberFormat="1" applyFont="1" applyFill="1" applyBorder="1" applyAlignment="1" applyProtection="1">
      <alignment horizontal="left" vertical="center" indent="1"/>
      <protection locked="0"/>
    </xf>
    <xf numFmtId="0" fontId="24" fillId="13" borderId="13" xfId="0" applyFont="1" applyFill="1" applyBorder="1" applyAlignment="1" applyProtection="1">
      <alignment horizontal="left" vertical="top"/>
      <protection locked="0"/>
    </xf>
    <xf numFmtId="0" fontId="24" fillId="13" borderId="9" xfId="0" applyFont="1" applyFill="1" applyBorder="1" applyAlignment="1" applyProtection="1">
      <alignment horizontal="left" vertical="top"/>
      <protection locked="0"/>
    </xf>
    <xf numFmtId="0" fontId="52" fillId="8" borderId="9" xfId="0" applyFont="1" applyFill="1" applyBorder="1" applyAlignment="1" applyProtection="1">
      <alignment horizontal="left" vertical="top"/>
      <protection locked="0"/>
    </xf>
    <xf numFmtId="0" fontId="53" fillId="4" borderId="21" xfId="0" applyFont="1" applyFill="1" applyBorder="1" applyAlignment="1" applyProtection="1">
      <alignment horizontal="left" vertical="top"/>
      <protection locked="0"/>
    </xf>
    <xf numFmtId="0" fontId="53" fillId="3" borderId="13" xfId="0" applyFont="1" applyFill="1" applyBorder="1" applyAlignment="1" applyProtection="1">
      <alignment horizontal="left" vertical="top"/>
      <protection locked="0"/>
    </xf>
    <xf numFmtId="164" fontId="51" fillId="4" borderId="9" xfId="0" applyNumberFormat="1" applyFont="1" applyFill="1" applyBorder="1" applyAlignment="1" applyProtection="1">
      <alignment horizontal="left" vertical="top"/>
      <protection locked="0"/>
    </xf>
    <xf numFmtId="0" fontId="53" fillId="3" borderId="9" xfId="0" applyFont="1" applyFill="1" applyBorder="1" applyAlignment="1" applyProtection="1">
      <alignment horizontal="left" vertical="top"/>
      <protection locked="0"/>
    </xf>
    <xf numFmtId="0" fontId="51" fillId="4" borderId="21" xfId="0" applyFont="1" applyFill="1" applyBorder="1" applyAlignment="1" applyProtection="1">
      <alignment horizontal="left" vertical="top"/>
      <protection locked="0"/>
    </xf>
    <xf numFmtId="0" fontId="52" fillId="8" borderId="13" xfId="0" applyFont="1" applyFill="1" applyBorder="1" applyAlignment="1" applyProtection="1">
      <alignment horizontal="left" vertical="top"/>
      <protection locked="0"/>
    </xf>
    <xf numFmtId="0" fontId="53" fillId="4" borderId="19" xfId="0" applyFont="1" applyFill="1" applyBorder="1" applyAlignment="1" applyProtection="1">
      <alignment horizontal="left" vertical="top"/>
      <protection locked="0"/>
    </xf>
    <xf numFmtId="0" fontId="53" fillId="4" borderId="13" xfId="0" applyFont="1" applyFill="1" applyBorder="1" applyAlignment="1" applyProtection="1">
      <alignment horizontal="left" vertical="top"/>
      <protection locked="0"/>
    </xf>
    <xf numFmtId="0" fontId="52" fillId="8" borderId="9" xfId="0" applyFont="1" applyFill="1" applyBorder="1" applyAlignment="1" applyProtection="1">
      <alignment horizontal="left" vertical="top" wrapText="1"/>
      <protection locked="0"/>
    </xf>
    <xf numFmtId="0" fontId="53" fillId="4" borderId="9" xfId="0" applyFont="1" applyFill="1" applyBorder="1" applyAlignment="1" applyProtection="1">
      <alignment horizontal="left" vertical="top"/>
      <protection locked="0"/>
    </xf>
    <xf numFmtId="0" fontId="53" fillId="3" borderId="21" xfId="0" applyFont="1" applyFill="1" applyBorder="1" applyAlignment="1" applyProtection="1">
      <alignment horizontal="left" vertical="top"/>
      <protection locked="0"/>
    </xf>
    <xf numFmtId="165" fontId="52" fillId="8" borderId="13" xfId="0" applyNumberFormat="1" applyFont="1" applyFill="1" applyBorder="1" applyAlignment="1" applyProtection="1">
      <alignment horizontal="left" vertical="top"/>
      <protection locked="0"/>
    </xf>
    <xf numFmtId="165" fontId="52" fillId="8" borderId="21" xfId="0" applyNumberFormat="1" applyFont="1" applyFill="1" applyBorder="1" applyAlignment="1" applyProtection="1">
      <alignment horizontal="left" vertical="top"/>
      <protection locked="0"/>
    </xf>
    <xf numFmtId="0" fontId="24" fillId="13" borderId="13" xfId="0" applyNumberFormat="1" applyFont="1" applyFill="1" applyBorder="1" applyAlignment="1" applyProtection="1">
      <alignment horizontal="left" vertical="top"/>
      <protection locked="0"/>
    </xf>
    <xf numFmtId="0" fontId="24" fillId="13" borderId="21" xfId="0" applyFont="1" applyFill="1" applyBorder="1" applyAlignment="1" applyProtection="1">
      <alignment horizontal="left" vertical="top"/>
      <protection locked="0"/>
    </xf>
    <xf numFmtId="0" fontId="53" fillId="8" borderId="13" xfId="0" applyFont="1" applyFill="1" applyBorder="1" applyAlignment="1" applyProtection="1">
      <alignment horizontal="left" vertical="top"/>
      <protection locked="0"/>
    </xf>
    <xf numFmtId="0" fontId="54" fillId="7" borderId="30" xfId="0" applyFont="1" applyFill="1" applyBorder="1" applyAlignment="1" applyProtection="1">
      <alignment horizontal="left" vertical="top"/>
      <protection locked="0"/>
    </xf>
    <xf numFmtId="0" fontId="53" fillId="8" borderId="9" xfId="0" applyFont="1" applyFill="1" applyBorder="1" applyAlignment="1" applyProtection="1">
      <alignment horizontal="left" vertical="top"/>
      <protection locked="0"/>
    </xf>
    <xf numFmtId="0" fontId="53" fillId="8" borderId="30" xfId="0" applyFont="1" applyFill="1" applyBorder="1" applyAlignment="1" applyProtection="1">
      <alignment horizontal="left" vertical="top"/>
      <protection locked="0"/>
    </xf>
    <xf numFmtId="0" fontId="52" fillId="8" borderId="30" xfId="0" applyFont="1" applyFill="1" applyBorder="1" applyAlignment="1" applyProtection="1">
      <alignment horizontal="left" vertical="top"/>
      <protection locked="0"/>
    </xf>
    <xf numFmtId="0" fontId="24" fillId="13" borderId="27" xfId="0" applyFont="1" applyFill="1" applyBorder="1" applyAlignment="1" applyProtection="1">
      <alignment horizontal="left" vertical="top"/>
      <protection locked="0"/>
    </xf>
    <xf numFmtId="164" fontId="30" fillId="4" borderId="40" xfId="0" applyNumberFormat="1" applyFont="1" applyFill="1" applyBorder="1" applyAlignment="1" applyProtection="1">
      <alignment horizontal="left" vertical="top"/>
      <protection locked="0"/>
    </xf>
    <xf numFmtId="164" fontId="16" fillId="4" borderId="40" xfId="0" applyNumberFormat="1" applyFont="1" applyFill="1" applyBorder="1" applyAlignment="1" applyProtection="1">
      <alignment horizontal="left" vertical="top"/>
      <protection locked="0"/>
    </xf>
    <xf numFmtId="164" fontId="31" fillId="7" borderId="41" xfId="0" applyNumberFormat="1" applyFont="1" applyFill="1" applyBorder="1" applyAlignment="1" applyProtection="1">
      <alignment horizontal="left" vertical="top"/>
      <protection locked="0"/>
    </xf>
    <xf numFmtId="164" fontId="54" fillId="7" borderId="21" xfId="0" applyNumberFormat="1" applyFont="1" applyFill="1" applyBorder="1" applyAlignment="1" applyProtection="1">
      <alignment horizontal="left" vertical="top"/>
      <protection locked="0"/>
    </xf>
    <xf numFmtId="0" fontId="54" fillId="7" borderId="27" xfId="0" applyFont="1" applyFill="1" applyBorder="1" applyAlignment="1" applyProtection="1">
      <alignment horizontal="left" vertical="top"/>
      <protection locked="0"/>
    </xf>
    <xf numFmtId="0" fontId="9" fillId="35" borderId="43" xfId="0" applyFont="1" applyFill="1" applyBorder="1" applyAlignment="1" applyProtection="1">
      <alignment horizontal="left" vertical="center" indent="1"/>
      <protection locked="0"/>
    </xf>
    <xf numFmtId="0" fontId="1" fillId="4" borderId="1" xfId="0" applyFont="1" applyFill="1" applyBorder="1" applyAlignment="1" applyProtection="1">
      <alignment horizontal="center" vertical="center"/>
    </xf>
    <xf numFmtId="0" fontId="1" fillId="4" borderId="1" xfId="0" applyFont="1" applyFill="1" applyBorder="1" applyAlignment="1">
      <alignment horizontal="center" vertical="center"/>
    </xf>
    <xf numFmtId="0" fontId="1" fillId="4" borderId="1" xfId="0" applyFont="1" applyFill="1" applyBorder="1" applyAlignment="1">
      <alignment horizontal="left" vertical="center"/>
    </xf>
    <xf numFmtId="0" fontId="1" fillId="0" borderId="0" xfId="0" applyFont="1" applyAlignment="1" applyProtection="1">
      <alignment vertical="center"/>
    </xf>
    <xf numFmtId="0" fontId="1" fillId="0" borderId="0" xfId="0" applyFont="1" applyAlignment="1" applyProtection="1">
      <alignment vertical="top"/>
    </xf>
    <xf numFmtId="0" fontId="42" fillId="29" borderId="2" xfId="0" applyFont="1" applyFill="1" applyBorder="1" applyAlignment="1" applyProtection="1">
      <alignment vertical="center"/>
    </xf>
    <xf numFmtId="0" fontId="17" fillId="22" borderId="1" xfId="0" applyFont="1" applyFill="1" applyBorder="1" applyAlignment="1" applyProtection="1">
      <alignment horizontal="left" vertical="center"/>
    </xf>
    <xf numFmtId="0" fontId="16" fillId="22" borderId="1" xfId="0" applyFont="1" applyFill="1" applyBorder="1" applyAlignment="1" applyProtection="1">
      <alignment horizontal="left" vertical="center"/>
    </xf>
    <xf numFmtId="0" fontId="42" fillId="29" borderId="15" xfId="0" applyFont="1" applyFill="1" applyBorder="1" applyAlignment="1" applyProtection="1">
      <alignment vertical="center"/>
    </xf>
    <xf numFmtId="0" fontId="17" fillId="22" borderId="16" xfId="0" applyFont="1" applyFill="1" applyBorder="1" applyAlignment="1" applyProtection="1">
      <alignment horizontal="left" vertical="center"/>
    </xf>
    <xf numFmtId="0" fontId="16" fillId="22" borderId="16" xfId="0" applyFont="1" applyFill="1" applyBorder="1" applyAlignment="1" applyProtection="1">
      <alignment horizontal="left" vertical="center"/>
    </xf>
    <xf numFmtId="0" fontId="42" fillId="30" borderId="12" xfId="0" applyFont="1" applyFill="1" applyBorder="1" applyAlignment="1" applyProtection="1">
      <alignment vertical="center"/>
    </xf>
    <xf numFmtId="0" fontId="17" fillId="22" borderId="4" xfId="0" applyFont="1" applyFill="1" applyBorder="1" applyAlignment="1" applyProtection="1">
      <alignment horizontal="left" vertical="center"/>
    </xf>
    <xf numFmtId="0" fontId="16" fillId="22" borderId="4" xfId="0" applyFont="1" applyFill="1" applyBorder="1" applyAlignment="1" applyProtection="1">
      <alignment horizontal="left" vertical="center"/>
    </xf>
    <xf numFmtId="0" fontId="42" fillId="30" borderId="2" xfId="0" applyFont="1" applyFill="1" applyBorder="1" applyAlignment="1" applyProtection="1">
      <alignment vertical="center"/>
    </xf>
    <xf numFmtId="0" fontId="42" fillId="30" borderId="15" xfId="0" applyFont="1" applyFill="1" applyBorder="1" applyAlignment="1" applyProtection="1">
      <alignment vertical="center"/>
    </xf>
    <xf numFmtId="0" fontId="42" fillId="31" borderId="12" xfId="0" applyFont="1" applyFill="1" applyBorder="1" applyAlignment="1" applyProtection="1">
      <alignment vertical="center"/>
    </xf>
    <xf numFmtId="0" fontId="42" fillId="31" borderId="2" xfId="0" applyFont="1" applyFill="1" applyBorder="1" applyAlignment="1" applyProtection="1">
      <alignment vertical="center"/>
    </xf>
    <xf numFmtId="0" fontId="42" fillId="31" borderId="15" xfId="0" applyFont="1" applyFill="1" applyBorder="1" applyAlignment="1" applyProtection="1">
      <alignment vertical="center"/>
    </xf>
    <xf numFmtId="0" fontId="42" fillId="32" borderId="12" xfId="0" applyFont="1" applyFill="1" applyBorder="1" applyAlignment="1" applyProtection="1">
      <alignment vertical="center"/>
    </xf>
    <xf numFmtId="0" fontId="42" fillId="32" borderId="2" xfId="0" applyFont="1" applyFill="1" applyBorder="1" applyAlignment="1" applyProtection="1">
      <alignment vertical="center"/>
    </xf>
    <xf numFmtId="0" fontId="42" fillId="32" borderId="15" xfId="0" applyFont="1" applyFill="1" applyBorder="1" applyAlignment="1" applyProtection="1">
      <alignment vertical="center"/>
    </xf>
    <xf numFmtId="0" fontId="42" fillId="33" borderId="12" xfId="0" applyFont="1" applyFill="1" applyBorder="1" applyAlignment="1" applyProtection="1">
      <alignment vertical="center"/>
    </xf>
    <xf numFmtId="0" fontId="11" fillId="24" borderId="4" xfId="0" applyFont="1" applyFill="1" applyBorder="1" applyAlignment="1" applyProtection="1">
      <alignment horizontal="left" vertical="center"/>
    </xf>
    <xf numFmtId="0" fontId="11" fillId="24" borderId="4" xfId="0" applyNumberFormat="1" applyFont="1" applyFill="1" applyBorder="1" applyAlignment="1" applyProtection="1">
      <alignment horizontal="left" vertical="center"/>
    </xf>
    <xf numFmtId="0" fontId="42" fillId="33" borderId="2" xfId="0" applyFont="1" applyFill="1" applyBorder="1" applyAlignment="1" applyProtection="1">
      <alignment vertical="center"/>
    </xf>
    <xf numFmtId="0" fontId="11" fillId="24" borderId="1" xfId="0" applyFont="1" applyFill="1" applyBorder="1" applyAlignment="1" applyProtection="1">
      <alignment horizontal="left" vertical="center"/>
    </xf>
    <xf numFmtId="0" fontId="42" fillId="33" borderId="15" xfId="0" applyFont="1" applyFill="1" applyBorder="1" applyAlignment="1" applyProtection="1">
      <alignment vertical="center"/>
    </xf>
    <xf numFmtId="0" fontId="11" fillId="24" borderId="16" xfId="0" applyFont="1" applyFill="1" applyBorder="1" applyAlignment="1" applyProtection="1">
      <alignment horizontal="left" vertical="center"/>
    </xf>
    <xf numFmtId="0" fontId="11" fillId="24" borderId="16" xfId="0" applyNumberFormat="1" applyFont="1" applyFill="1" applyBorder="1" applyAlignment="1" applyProtection="1">
      <alignment horizontal="left" vertical="center"/>
    </xf>
    <xf numFmtId="0" fontId="19" fillId="38" borderId="4" xfId="0" applyFont="1" applyFill="1" applyBorder="1" applyAlignment="1" applyProtection="1">
      <alignment horizontal="left" vertical="center"/>
    </xf>
    <xf numFmtId="0" fontId="51" fillId="38" borderId="13" xfId="0" applyFont="1" applyFill="1" applyBorder="1" applyAlignment="1" applyProtection="1">
      <alignment horizontal="left" vertical="top"/>
      <protection locked="0"/>
    </xf>
    <xf numFmtId="0" fontId="19" fillId="38" borderId="1" xfId="0" applyFont="1" applyFill="1" applyBorder="1" applyAlignment="1" applyProtection="1">
      <alignment horizontal="left" vertical="center"/>
    </xf>
    <xf numFmtId="0" fontId="23" fillId="12" borderId="37" xfId="0" applyFont="1" applyFill="1" applyBorder="1" applyAlignment="1" applyProtection="1">
      <alignment horizontal="left" vertical="center"/>
    </xf>
    <xf numFmtId="0" fontId="43" fillId="12" borderId="1" xfId="0" applyFont="1" applyFill="1" applyBorder="1" applyAlignment="1" applyProtection="1">
      <alignment horizontal="left" vertical="top"/>
    </xf>
    <xf numFmtId="0" fontId="16" fillId="3" borderId="1" xfId="0" applyFont="1" applyFill="1" applyBorder="1" applyAlignment="1" applyProtection="1">
      <alignment horizontal="left" vertical="top"/>
    </xf>
    <xf numFmtId="0" fontId="30" fillId="8" borderId="1" xfId="0" applyFont="1" applyFill="1" applyBorder="1" applyAlignment="1" applyProtection="1">
      <alignment horizontal="left" vertical="top" wrapText="1"/>
    </xf>
    <xf numFmtId="0" fontId="30" fillId="8" borderId="1" xfId="0" applyFont="1" applyFill="1" applyBorder="1" applyAlignment="1" applyProtection="1">
      <alignment horizontal="left" vertical="top"/>
    </xf>
    <xf numFmtId="0" fontId="30" fillId="4" borderId="1" xfId="0" applyFont="1" applyFill="1" applyBorder="1" applyAlignment="1" applyProtection="1">
      <alignment horizontal="left" vertical="top"/>
    </xf>
    <xf numFmtId="164" fontId="30" fillId="4" borderId="1" xfId="0" applyNumberFormat="1" applyFont="1" applyFill="1" applyBorder="1" applyAlignment="1" applyProtection="1">
      <alignment horizontal="left" vertical="top"/>
    </xf>
    <xf numFmtId="164" fontId="30" fillId="5" borderId="1" xfId="0" applyNumberFormat="1" applyFont="1" applyFill="1" applyBorder="1" applyAlignment="1" applyProtection="1">
      <alignment horizontal="left" vertical="top"/>
    </xf>
    <xf numFmtId="0" fontId="30" fillId="8" borderId="1" xfId="0" applyFont="1" applyFill="1" applyBorder="1" applyAlignment="1" applyProtection="1">
      <alignment horizontal="left" vertical="top" wrapText="1" shrinkToFit="1"/>
    </xf>
    <xf numFmtId="0" fontId="30" fillId="3" borderId="1" xfId="0" applyFont="1" applyFill="1" applyBorder="1" applyAlignment="1" applyProtection="1">
      <alignment horizontal="left" vertical="top"/>
    </xf>
    <xf numFmtId="165" fontId="30" fillId="8" borderId="1" xfId="0" applyNumberFormat="1" applyFont="1" applyFill="1" applyBorder="1" applyAlignment="1" applyProtection="1">
      <alignment horizontal="left" vertical="top"/>
    </xf>
    <xf numFmtId="0" fontId="42" fillId="0" borderId="1" xfId="0" applyFont="1" applyFill="1" applyBorder="1" applyAlignment="1" applyProtection="1">
      <alignment horizontal="left" vertical="top"/>
    </xf>
    <xf numFmtId="0" fontId="30" fillId="4" borderId="1" xfId="0" applyFont="1" applyFill="1" applyBorder="1" applyAlignment="1" applyProtection="1">
      <alignment horizontal="left" vertical="top" wrapText="1"/>
    </xf>
    <xf numFmtId="0" fontId="31" fillId="5" borderId="1" xfId="0" applyFont="1" applyFill="1" applyBorder="1" applyAlignment="1" applyProtection="1">
      <alignment horizontal="left" vertical="top"/>
    </xf>
    <xf numFmtId="164" fontId="30" fillId="8" borderId="1" xfId="0" applyNumberFormat="1" applyFont="1" applyFill="1" applyBorder="1" applyAlignment="1" applyProtection="1">
      <alignment horizontal="left" vertical="top"/>
    </xf>
    <xf numFmtId="0" fontId="9" fillId="14" borderId="8" xfId="0" applyFont="1" applyFill="1" applyBorder="1" applyAlignment="1" applyProtection="1">
      <alignment horizontal="left" vertical="center"/>
    </xf>
    <xf numFmtId="0" fontId="19" fillId="14" borderId="8" xfId="0" applyFont="1" applyFill="1" applyBorder="1" applyAlignment="1" applyProtection="1">
      <alignment horizontal="left" vertical="center"/>
    </xf>
    <xf numFmtId="0" fontId="56" fillId="15" borderId="0" xfId="1" applyFont="1" applyFill="1" applyAlignment="1" applyProtection="1">
      <alignment horizontal="left" vertical="center" indent="1"/>
    </xf>
    <xf numFmtId="0" fontId="42" fillId="5" borderId="1" xfId="0" applyFont="1" applyFill="1" applyBorder="1" applyAlignment="1">
      <alignment horizontal="left" vertical="center"/>
    </xf>
    <xf numFmtId="0" fontId="57" fillId="5" borderId="1" xfId="0" applyFont="1" applyFill="1" applyBorder="1" applyAlignment="1">
      <alignment horizontal="left" vertical="center"/>
    </xf>
    <xf numFmtId="0" fontId="57" fillId="0" borderId="6" xfId="0" applyFont="1" applyFill="1" applyBorder="1" applyAlignment="1">
      <alignment horizontal="left" vertical="center"/>
    </xf>
    <xf numFmtId="0" fontId="30" fillId="0" borderId="5" xfId="0" applyFont="1" applyFill="1" applyBorder="1" applyAlignment="1" applyProtection="1">
      <alignment horizontal="left" vertical="center"/>
    </xf>
    <xf numFmtId="0" fontId="13" fillId="5" borderId="5" xfId="0" applyFont="1" applyFill="1" applyBorder="1" applyAlignment="1" applyProtection="1">
      <alignment vertical="center"/>
      <protection locked="0"/>
    </xf>
    <xf numFmtId="0" fontId="19" fillId="15" borderId="0" xfId="0" applyFont="1" applyFill="1" applyBorder="1" applyAlignment="1" applyProtection="1">
      <alignment horizontal="left" vertical="center"/>
    </xf>
    <xf numFmtId="0" fontId="24" fillId="15" borderId="0" xfId="0" applyFont="1" applyFill="1" applyAlignment="1" applyProtection="1">
      <alignment horizontal="left" vertical="center" wrapText="1"/>
    </xf>
    <xf numFmtId="0" fontId="24" fillId="15" borderId="0" xfId="0" applyFont="1" applyFill="1" applyAlignment="1" applyProtection="1">
      <alignment horizontal="left" vertical="top" wrapText="1"/>
    </xf>
    <xf numFmtId="0" fontId="21" fillId="4" borderId="0" xfId="0" applyFont="1" applyFill="1" applyBorder="1" applyAlignment="1">
      <alignment horizontal="right" vertical="center" indent="1"/>
    </xf>
    <xf numFmtId="0" fontId="1" fillId="3" borderId="5" xfId="0" applyFont="1" applyFill="1" applyBorder="1" applyAlignment="1" applyProtection="1">
      <alignment vertical="center"/>
      <protection locked="0"/>
    </xf>
    <xf numFmtId="0" fontId="1" fillId="4" borderId="5" xfId="0" applyFont="1" applyFill="1" applyBorder="1" applyAlignment="1" applyProtection="1">
      <alignment vertical="center"/>
      <protection locked="0"/>
    </xf>
    <xf numFmtId="0" fontId="1" fillId="11" borderId="5" xfId="0" applyFont="1" applyFill="1" applyBorder="1" applyAlignment="1" applyProtection="1">
      <alignment vertical="center"/>
      <protection locked="0"/>
    </xf>
    <xf numFmtId="0" fontId="9" fillId="15" borderId="0" xfId="0" applyFont="1" applyFill="1" applyBorder="1" applyAlignment="1" applyProtection="1">
      <alignment horizontal="left" vertical="top" wrapText="1" indent="1"/>
    </xf>
    <xf numFmtId="0" fontId="24" fillId="15" borderId="0" xfId="0" applyFont="1" applyFill="1" applyAlignment="1" applyProtection="1">
      <alignment horizontal="left" vertical="center" wrapText="1"/>
    </xf>
    <xf numFmtId="0" fontId="24" fillId="15" borderId="0" xfId="0" applyFont="1" applyFill="1" applyAlignment="1" applyProtection="1">
      <alignment horizontal="left" vertical="top" wrapText="1"/>
    </xf>
  </cellXfs>
  <cellStyles count="2">
    <cellStyle name="Hyperlink" xfId="1" builtinId="8"/>
    <cellStyle name="Normal" xfId="0" builtinId="0"/>
  </cellStyles>
  <dxfs count="144">
    <dxf>
      <font>
        <b val="0"/>
        <i val="0"/>
        <strike val="0"/>
        <condense val="0"/>
        <extend val="0"/>
        <outline val="0"/>
        <shadow val="0"/>
        <u val="none"/>
        <vertAlign val="baseline"/>
        <sz val="8"/>
        <color auto="1"/>
        <name val="Consolas"/>
        <scheme val="none"/>
      </font>
      <fill>
        <patternFill patternType="none">
          <fgColor indexed="64"/>
          <bgColor auto="1"/>
        </patternFill>
      </fill>
      <alignment horizontal="left" vertical="center" textRotation="0" wrapText="0" indent="0" justifyLastLine="0" shrinkToFit="0" readingOrder="0"/>
      <border diagonalUp="0" diagonalDown="0" outline="0">
        <left/>
        <right/>
        <top style="thin">
          <color theme="0" tint="-0.24994659260841701"/>
        </top>
        <bottom style="thin">
          <color theme="0" tint="-0.24994659260841701"/>
        </bottom>
      </border>
    </dxf>
    <dxf>
      <border outline="0">
        <top style="thin">
          <color theme="0" tint="-0.24994659260841701"/>
        </top>
      </border>
    </dxf>
    <dxf>
      <border outline="0">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8"/>
        <color auto="1"/>
        <name val="Consolas"/>
        <scheme val="none"/>
      </font>
      <fill>
        <patternFill patternType="none">
          <fgColor indexed="64"/>
          <bgColor auto="1"/>
        </patternFill>
      </fill>
      <alignment horizontal="left" vertical="center" textRotation="0" wrapText="0" indent="0" justifyLastLine="0" shrinkToFit="0" readingOrder="0"/>
    </dxf>
    <dxf>
      <border outline="0">
        <bottom style="thin">
          <color theme="0" tint="-0.24994659260841701"/>
        </bottom>
      </border>
    </dxf>
    <dxf>
      <font>
        <b val="0"/>
        <i val="0"/>
        <strike val="0"/>
        <condense val="0"/>
        <extend val="0"/>
        <outline val="0"/>
        <shadow val="0"/>
        <u val="none"/>
        <vertAlign val="baseline"/>
        <sz val="8"/>
        <color theme="0"/>
        <name val="Tahoma"/>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onsolas"/>
        <scheme val="none"/>
      </font>
      <fill>
        <patternFill patternType="none">
          <fgColor indexed="64"/>
          <bgColor auto="1"/>
        </patternFill>
      </fill>
      <alignment horizontal="left" vertical="center" textRotation="0" wrapText="0" indent="0" justifyLastLine="0" shrinkToFit="0" readingOrder="0"/>
      <border diagonalUp="0" diagonalDown="0" outline="0">
        <left/>
        <right/>
        <top style="thin">
          <color theme="0" tint="-0.24994659260841701"/>
        </top>
        <bottom style="thin">
          <color theme="0" tint="-0.24994659260841701"/>
        </bottom>
      </border>
    </dxf>
    <dxf>
      <border outline="0">
        <top style="thin">
          <color theme="0" tint="-0.24994659260841701"/>
        </top>
      </border>
    </dxf>
    <dxf>
      <border outline="0">
        <left style="thin">
          <color theme="0" tint="-0.24994659260841701"/>
        </left>
        <top style="thin">
          <color theme="0" tint="-0.24994659260841701"/>
        </top>
        <bottom style="thin">
          <color theme="0" tint="-0.24994659260841701"/>
        </bottom>
      </border>
    </dxf>
    <dxf>
      <font>
        <b val="0"/>
        <i val="0"/>
        <strike val="0"/>
        <condense val="0"/>
        <extend val="0"/>
        <outline val="0"/>
        <shadow val="0"/>
        <u val="none"/>
        <vertAlign val="baseline"/>
        <sz val="8"/>
        <color auto="1"/>
        <name val="Consolas"/>
        <scheme val="none"/>
      </font>
      <fill>
        <patternFill patternType="none">
          <fgColor indexed="64"/>
          <bgColor auto="1"/>
        </patternFill>
      </fill>
      <alignment horizontal="left" vertical="center" textRotation="0" wrapText="0" indent="0" justifyLastLine="0" shrinkToFit="0" readingOrder="0"/>
    </dxf>
    <dxf>
      <border outline="0">
        <bottom style="thin">
          <color theme="0" tint="-0.24994659260841701"/>
        </bottom>
      </border>
    </dxf>
    <dxf>
      <font>
        <b val="0"/>
        <i val="0"/>
        <strike val="0"/>
        <condense val="0"/>
        <extend val="0"/>
        <outline val="0"/>
        <shadow val="0"/>
        <u val="none"/>
        <vertAlign val="baseline"/>
        <sz val="8"/>
        <color theme="0"/>
        <name val="Tahoma"/>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8"/>
        <color auto="1"/>
        <name val="Consolas"/>
        <scheme val="none"/>
      </font>
      <fill>
        <patternFill patternType="none">
          <fgColor indexed="64"/>
          <bgColor auto="1"/>
        </patternFill>
      </fill>
      <alignment horizontal="left" vertical="center" textRotation="0" wrapText="0" indent="0" justifyLastLine="0" shrinkToFit="0" readingOrder="0"/>
      <border diagonalUp="0" diagonalDown="0" outline="0">
        <left/>
        <right/>
        <top style="thin">
          <color theme="0" tint="-0.24994659260841701"/>
        </top>
        <bottom style="thin">
          <color theme="0" tint="-0.24994659260841701"/>
        </bottom>
      </border>
    </dxf>
    <dxf>
      <border outline="0">
        <top style="thin">
          <color theme="0" tint="-0.24994659260841701"/>
        </top>
      </border>
    </dxf>
    <dxf>
      <border outline="0">
        <left style="thin">
          <color theme="0" tint="-0.24994659260841701"/>
        </left>
        <right style="thin">
          <color theme="0" tint="-0.24994659260841701"/>
        </right>
        <top style="thin">
          <color theme="0" tint="-0.24994659260841701"/>
        </top>
        <bottom style="thin">
          <color theme="0" tint="-0.24994659260841701"/>
        </bottom>
      </border>
    </dxf>
    <dxf>
      <font>
        <b val="0"/>
        <i val="0"/>
        <strike val="0"/>
        <condense val="0"/>
        <extend val="0"/>
        <outline val="0"/>
        <shadow val="0"/>
        <u val="none"/>
        <vertAlign val="baseline"/>
        <sz val="8"/>
        <color auto="1"/>
        <name val="Consolas"/>
        <scheme val="none"/>
      </font>
      <fill>
        <patternFill patternType="none">
          <fgColor indexed="64"/>
          <bgColor auto="1"/>
        </patternFill>
      </fill>
      <alignment horizontal="left" vertical="center" textRotation="0" wrapText="0" indent="0" justifyLastLine="0" shrinkToFit="0" readingOrder="0"/>
    </dxf>
    <dxf>
      <border outline="0">
        <bottom style="thin">
          <color theme="0" tint="-0.24994659260841701"/>
        </bottom>
      </border>
    </dxf>
    <dxf>
      <font>
        <b val="0"/>
        <i val="0"/>
        <strike val="0"/>
        <condense val="0"/>
        <extend val="0"/>
        <outline val="0"/>
        <shadow val="0"/>
        <u val="none"/>
        <vertAlign val="baseline"/>
        <sz val="8"/>
        <color auto="1"/>
        <name val="Tahoma"/>
        <scheme val="none"/>
      </font>
      <fill>
        <patternFill patternType="none">
          <fgColor indexed="64"/>
          <bgColor auto="1"/>
        </patternFill>
      </fill>
      <alignment horizontal="left" vertical="center" textRotation="0" wrapText="0" indent="0" justifyLastLine="0" shrinkToFit="0" readingOrder="0"/>
    </dxf>
    <dxf>
      <font>
        <color theme="0" tint="-0.34998626667073579"/>
      </font>
    </dxf>
    <dxf>
      <font>
        <color theme="0" tint="-0.34998626667073579"/>
      </font>
    </dxf>
    <dxf>
      <font>
        <color theme="0" tint="-0.34998626667073579"/>
      </font>
    </dxf>
    <dxf>
      <font>
        <b val="0"/>
        <i val="0"/>
        <strike val="0"/>
        <condense val="0"/>
        <extend val="0"/>
        <outline val="0"/>
        <shadow val="0"/>
        <u val="none"/>
        <vertAlign val="baseline"/>
        <sz val="8"/>
        <color theme="0" tint="-0.499984740745262"/>
        <name val="Tahoma"/>
        <scheme val="none"/>
      </font>
      <numFmt numFmtId="0" formatCode="General"/>
      <fill>
        <patternFill patternType="lightUp">
          <fgColor theme="0" tint="-0.14996795556505021"/>
          <bgColor theme="0" tint="-4.9989318521683403E-2"/>
        </patternFill>
      </fill>
      <alignment horizontal="center" vertical="center" textRotation="0" wrapText="0" indent="0" justifyLastLine="0" shrinkToFit="0" readingOrder="0"/>
      <border diagonalUp="0" diagonalDown="0">
        <left style="thin">
          <color theme="0" tint="-0.24994659260841701"/>
        </left>
        <right/>
        <top style="thin">
          <color theme="0" tint="-0.24994659260841701"/>
        </top>
        <bottom style="thin">
          <color theme="0" tint="-0.24994659260841701"/>
        </bottom>
      </border>
      <protection locked="1" hidden="0"/>
    </dxf>
    <dxf>
      <font>
        <b val="0"/>
        <i val="0"/>
        <strike val="0"/>
        <condense val="0"/>
        <extend val="0"/>
        <outline val="0"/>
        <shadow val="0"/>
        <u val="none"/>
        <vertAlign val="baseline"/>
        <sz val="8"/>
        <color theme="0" tint="-0.499984740745262"/>
        <name val="Tahoma"/>
        <scheme val="none"/>
      </font>
      <numFmt numFmtId="0" formatCode="General"/>
      <fill>
        <patternFill patternType="lightUp">
          <fgColor theme="0" tint="-0.14996795556505021"/>
          <bgColor theme="0" tint="-4.9989318521683403E-2"/>
        </patternFill>
      </fill>
      <alignment horizontal="center" vertical="center" textRotation="0" wrapText="0" indent="0" justifyLastLine="0" shrinkToFit="0" readingOrder="0"/>
      <border diagonalUp="0" diagonalDown="0">
        <left style="thin">
          <color theme="0" tint="-0.24994659260841701"/>
        </left>
        <right style="thin">
          <color theme="0" tint="-0.24994659260841701"/>
        </right>
        <top style="thin">
          <color theme="0" tint="-0.24994659260841701"/>
        </top>
        <bottom style="thin">
          <color theme="0" tint="-0.24994659260841701"/>
        </bottom>
      </border>
      <protection locked="1" hidden="0"/>
    </dxf>
    <dxf>
      <font>
        <b val="0"/>
        <i val="0"/>
        <strike val="0"/>
        <condense val="0"/>
        <extend val="0"/>
        <outline val="0"/>
        <shadow val="0"/>
        <u val="none"/>
        <vertAlign val="baseline"/>
        <sz val="8"/>
        <color rgb="FFC00000"/>
        <name val="Consolas"/>
        <scheme val="none"/>
      </font>
      <alignment horizontal="left"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8"/>
        <color rgb="FFC00000"/>
        <name val="Consolas"/>
        <scheme val="none"/>
      </font>
      <alignment horizontal="left"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8"/>
        <color rgb="FF0000FF"/>
        <name val="Consolas"/>
        <scheme val="none"/>
      </font>
      <alignment horizontal="left"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8"/>
        <color rgb="FF0000FF"/>
        <name val="Consolas"/>
        <scheme val="none"/>
      </font>
      <numFmt numFmtId="0" formatCode="General"/>
      <alignment vertical="center" textRotation="0" wrapText="0" indent="0" justifyLastLine="0" shrinkToFit="0" readingOrder="0"/>
      <border diagonalUp="0" diagonalDown="0">
        <left style="double">
          <color theme="0" tint="-0.24994659260841701"/>
        </left>
        <right style="thin">
          <color theme="0" tint="-0.24994659260841701"/>
        </right>
        <top style="thin">
          <color theme="0" tint="-0.24994659260841701"/>
        </top>
        <bottom style="thin">
          <color theme="0" tint="-0.24994659260841701"/>
        </bottom>
      </border>
      <protection locked="0" hidden="0"/>
    </dxf>
    <dxf>
      <font>
        <b val="0"/>
        <i val="0"/>
        <strike val="0"/>
        <condense val="0"/>
        <extend val="0"/>
        <outline val="0"/>
        <shadow val="0"/>
        <u val="none"/>
        <vertAlign val="baseline"/>
        <sz val="8"/>
        <color theme="0" tint="-0.499984740745262"/>
        <name val="Tahoma"/>
        <scheme val="none"/>
      </font>
      <numFmt numFmtId="169" formatCode="0.0%"/>
      <fill>
        <patternFill patternType="solid">
          <fgColor indexed="64"/>
          <bgColor theme="0" tint="-4.9989318521683403E-2"/>
        </patternFill>
      </fill>
      <alignment horizontal="left" vertical="center" textRotation="0" wrapText="0" indent="0" justifyLastLine="0" shrinkToFit="0" readingOrder="0"/>
      <border diagonalUp="0" diagonalDown="0">
        <left style="thin">
          <color theme="0" tint="-0.24994659260841701"/>
        </left>
        <right style="double">
          <color theme="0" tint="-0.24994659260841701"/>
        </right>
        <top style="thin">
          <color theme="0" tint="-0.24994659260841701"/>
        </top>
        <bottom style="thin">
          <color theme="0" tint="-0.24994659260841701"/>
        </bottom>
      </border>
      <protection locked="1" hidden="0"/>
    </dxf>
    <dxf>
      <font>
        <b val="0"/>
        <i val="0"/>
        <strike val="0"/>
        <condense val="0"/>
        <extend val="0"/>
        <outline val="0"/>
        <shadow val="0"/>
        <u val="none"/>
        <vertAlign val="baseline"/>
        <sz val="8"/>
        <color rgb="FF002060"/>
        <name val="Tahoma"/>
        <scheme val="none"/>
      </font>
      <numFmt numFmtId="0" formatCode="General"/>
      <fill>
        <patternFill patternType="solid">
          <fgColor indexed="64"/>
          <bgColor theme="0" tint="-4.9989318521683403E-2"/>
        </patternFill>
      </fill>
      <alignment vertical="center" textRotation="0" wrapText="0" indent="0" justifyLastLine="0" shrinkToFit="0" readingOrder="0"/>
      <border diagonalUp="0" diagonalDown="0" outline="0">
        <left style="thin">
          <color theme="0" tint="-0.24994659260841701"/>
        </left>
        <right style="thin">
          <color theme="0" tint="-0.24994659260841701"/>
        </right>
        <top style="thin">
          <color theme="0" tint="-0.24994659260841701"/>
        </top>
        <bottom style="thin">
          <color theme="0" tint="-0.24994659260841701"/>
        </bottom>
      </border>
      <protection locked="1" hidden="0"/>
    </dxf>
    <dxf>
      <font>
        <b val="0"/>
        <i val="0"/>
        <strike val="0"/>
        <condense val="0"/>
        <extend val="0"/>
        <outline val="0"/>
        <shadow val="0"/>
        <u val="none"/>
        <vertAlign val="baseline"/>
        <sz val="8"/>
        <color rgb="FF002060"/>
        <name val="Tahoma"/>
        <scheme val="none"/>
      </font>
      <numFmt numFmtId="0" formatCode="General"/>
      <fill>
        <patternFill patternType="solid">
          <fgColor indexed="64"/>
          <bgColor theme="0" tint="-4.9989318521683403E-2"/>
        </patternFill>
      </fill>
      <alignment horizontal="left" vertical="center" textRotation="0" wrapText="0" indent="0" justifyLastLine="0" shrinkToFit="0" readingOrder="0"/>
      <border diagonalUp="0" diagonalDown="0">
        <left/>
        <right style="thin">
          <color theme="0" tint="-0.24994659260841701"/>
        </right>
        <top style="thin">
          <color theme="0" tint="-0.24994659260841701"/>
        </top>
        <bottom style="thin">
          <color theme="0" tint="-0.24994659260841701"/>
        </bottom>
      </border>
      <protection locked="1" hidden="0"/>
    </dxf>
    <dxf>
      <border outline="0">
        <left style="thin">
          <color theme="0" tint="-0.24994659260841701"/>
        </left>
      </border>
    </dxf>
    <dxf>
      <alignment vertical="center" textRotation="0" wrapText="0" indent="0" justifyLastLine="0" shrinkToFit="0" readingOrder="0"/>
    </dxf>
    <dxf>
      <alignment vertical="center" textRotation="0" wrapText="0" indent="0" justifyLastLine="0" shrinkToFit="0" readingOrder="0"/>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theme="0"/>
      </font>
      <fill>
        <patternFill>
          <bgColor rgb="FF008000"/>
        </patternFill>
      </fill>
    </dxf>
    <dxf>
      <font>
        <color rgb="FFFFFF00"/>
      </font>
      <fill>
        <patternFill>
          <bgColor rgb="FFC00000"/>
        </patternFill>
      </fill>
    </dxf>
    <dxf>
      <font>
        <color theme="0"/>
      </font>
      <fill>
        <patternFill>
          <bgColor rgb="FF008000"/>
        </patternFill>
      </fill>
    </dxf>
    <dxf>
      <font>
        <color rgb="FFFFFF00"/>
      </font>
      <fill>
        <patternFill>
          <bgColor rgb="FFC00000"/>
        </patternFill>
      </fill>
    </dxf>
    <dxf>
      <font>
        <color theme="0"/>
      </font>
      <fill>
        <patternFill>
          <bgColor rgb="FF008000"/>
        </patternFill>
      </fill>
    </dxf>
    <dxf>
      <font>
        <color rgb="FFFFFF00"/>
      </font>
      <fill>
        <patternFill>
          <bgColor rgb="FFC00000"/>
        </patternFill>
      </fill>
    </dxf>
    <dxf>
      <font>
        <color theme="0"/>
      </font>
      <fill>
        <patternFill>
          <bgColor rgb="FF008000"/>
        </patternFill>
      </fill>
    </dxf>
    <dxf>
      <font>
        <color rgb="FFFFFF00"/>
      </font>
      <fill>
        <patternFill>
          <bgColor rgb="FFC00000"/>
        </patternFill>
      </fill>
    </dxf>
    <dxf>
      <font>
        <color theme="0"/>
      </font>
      <fill>
        <patternFill>
          <bgColor rgb="FF008000"/>
        </patternFill>
      </fill>
    </dxf>
    <dxf>
      <font>
        <color rgb="FFFFFF00"/>
      </font>
      <fill>
        <patternFill>
          <bgColor rgb="FFC00000"/>
        </patternFill>
      </fill>
    </dxf>
    <dxf>
      <font>
        <color theme="0"/>
      </font>
      <fill>
        <patternFill>
          <bgColor rgb="FF008000"/>
        </patternFill>
      </fill>
    </dxf>
    <dxf>
      <font>
        <color rgb="FFFFFF00"/>
      </font>
      <fill>
        <patternFill>
          <bgColor rgb="FFC00000"/>
        </patternFill>
      </fill>
    </dxf>
    <dxf>
      <font>
        <color theme="0"/>
      </font>
      <fill>
        <patternFill>
          <bgColor rgb="FF008000"/>
        </patternFill>
      </fill>
    </dxf>
    <dxf>
      <font>
        <color rgb="FFFFFF00"/>
      </font>
      <fill>
        <patternFill>
          <bgColor rgb="FFC00000"/>
        </patternFill>
      </fill>
    </dxf>
    <dxf>
      <font>
        <color theme="0"/>
      </font>
      <fill>
        <patternFill>
          <bgColor rgb="FF008000"/>
        </patternFill>
      </fill>
    </dxf>
    <dxf>
      <font>
        <color rgb="FFFFFF00"/>
      </font>
      <fill>
        <patternFill>
          <bgColor rgb="FFC00000"/>
        </patternFill>
      </fill>
    </dxf>
    <dxf>
      <font>
        <color theme="0"/>
      </font>
      <fill>
        <patternFill>
          <bgColor rgb="FF008000"/>
        </patternFill>
      </fill>
    </dxf>
    <dxf>
      <font>
        <color rgb="FFFFFF00"/>
      </font>
      <fill>
        <patternFill>
          <bgColor rgb="FFC00000"/>
        </patternFill>
      </fill>
    </dxf>
    <dxf>
      <font>
        <color theme="0"/>
      </font>
      <fill>
        <patternFill>
          <bgColor rgb="FF008000"/>
        </patternFill>
      </fill>
    </dxf>
    <dxf>
      <font>
        <color rgb="FFFFFF00"/>
      </font>
      <fill>
        <patternFill>
          <bgColor rgb="FFC00000"/>
        </patternFill>
      </fill>
    </dxf>
    <dxf>
      <font>
        <color theme="0"/>
      </font>
      <fill>
        <patternFill>
          <bgColor rgb="FF008000"/>
        </patternFill>
      </fill>
    </dxf>
    <dxf>
      <font>
        <color rgb="FFFFFF00"/>
      </font>
      <fill>
        <patternFill>
          <bgColor rgb="FFC00000"/>
        </patternFill>
      </fill>
    </dxf>
    <dxf>
      <font>
        <color rgb="FFFFFF00"/>
      </font>
      <fill>
        <patternFill>
          <bgColor rgb="FFC00000"/>
        </patternFill>
      </fill>
    </dxf>
    <dxf>
      <font>
        <color theme="0"/>
      </font>
      <fill>
        <patternFill>
          <bgColor rgb="FF008000"/>
        </patternFill>
      </fill>
    </dxf>
    <dxf>
      <font>
        <color rgb="FFFFFF00"/>
      </font>
      <fill>
        <patternFill>
          <bgColor rgb="FFC00000"/>
        </patternFill>
      </fill>
    </dxf>
    <dxf>
      <font>
        <color theme="0"/>
      </font>
      <fill>
        <patternFill>
          <bgColor rgb="FF008000"/>
        </patternFill>
      </fill>
    </dxf>
    <dxf>
      <font>
        <color rgb="FFFFFF00"/>
      </font>
      <fill>
        <patternFill>
          <bgColor rgb="FFC00000"/>
        </patternFill>
      </fill>
    </dxf>
    <dxf>
      <font>
        <color theme="0"/>
      </font>
      <fill>
        <patternFill>
          <bgColor rgb="FF008000"/>
        </patternFill>
      </fill>
    </dxf>
    <dxf>
      <font>
        <color rgb="FFFFFF00"/>
      </font>
      <fill>
        <patternFill>
          <bgColor rgb="FFC00000"/>
        </patternFill>
      </fill>
    </dxf>
    <dxf>
      <font>
        <color theme="0"/>
      </font>
      <fill>
        <patternFill>
          <bgColor rgb="FF008000"/>
        </patternFill>
      </fill>
    </dxf>
    <dxf>
      <font>
        <color rgb="FFFFFF00"/>
      </font>
      <fill>
        <patternFill>
          <bgColor rgb="FFC00000"/>
        </patternFill>
      </fill>
    </dxf>
    <dxf>
      <font>
        <color theme="0"/>
      </font>
      <fill>
        <patternFill>
          <bgColor rgb="FF008000"/>
        </patternFill>
      </fill>
    </dxf>
    <dxf>
      <font>
        <color rgb="FFFFFF00"/>
      </font>
      <fill>
        <patternFill>
          <bgColor rgb="FFC00000"/>
        </patternFill>
      </fill>
    </dxf>
    <dxf>
      <font>
        <color theme="0"/>
      </font>
      <fill>
        <patternFill>
          <bgColor rgb="FF008000"/>
        </patternFill>
      </fill>
    </dxf>
    <dxf>
      <font>
        <color rgb="FFFFFF00"/>
      </font>
      <fill>
        <patternFill>
          <bgColor rgb="FFC00000"/>
        </patternFill>
      </fill>
    </dxf>
    <dxf>
      <font>
        <color theme="0"/>
      </font>
      <fill>
        <patternFill>
          <bgColor rgb="FF008000"/>
        </patternFill>
      </fill>
    </dxf>
    <dxf>
      <font>
        <color rgb="FFFFFF00"/>
      </font>
      <fill>
        <patternFill>
          <bgColor rgb="FFC00000"/>
        </patternFill>
      </fill>
    </dxf>
    <dxf>
      <font>
        <color theme="0"/>
      </font>
      <fill>
        <patternFill>
          <bgColor rgb="FF008000"/>
        </patternFill>
      </fill>
    </dxf>
    <dxf>
      <font>
        <color rgb="FFFFFF00"/>
      </font>
      <fill>
        <patternFill>
          <bgColor rgb="FFC00000"/>
        </patternFill>
      </fill>
    </dxf>
    <dxf>
      <font>
        <color theme="0"/>
      </font>
      <fill>
        <patternFill>
          <bgColor rgb="FF008000"/>
        </patternFill>
      </fill>
    </dxf>
    <dxf>
      <font>
        <color rgb="FFFFFF00"/>
      </font>
      <fill>
        <patternFill>
          <bgColor rgb="FFC00000"/>
        </patternFill>
      </fill>
    </dxf>
    <dxf>
      <font>
        <color theme="0"/>
      </font>
      <fill>
        <patternFill>
          <bgColor rgb="FF008000"/>
        </patternFill>
      </fill>
    </dxf>
    <dxf>
      <font>
        <color rgb="FFFFFF00"/>
      </font>
      <fill>
        <patternFill>
          <bgColor rgb="FFC00000"/>
        </patternFill>
      </fill>
    </dxf>
    <dxf>
      <font>
        <color theme="0"/>
      </font>
      <fill>
        <patternFill>
          <bgColor rgb="FF008000"/>
        </patternFill>
      </fill>
    </dxf>
    <dxf>
      <font>
        <color rgb="FFFFFF00"/>
      </font>
      <fill>
        <patternFill>
          <bgColor rgb="FFC00000"/>
        </patternFill>
      </fill>
    </dxf>
    <dxf>
      <font>
        <color rgb="FFC00000"/>
      </font>
    </dxf>
    <dxf>
      <font>
        <color rgb="FFFFFF00"/>
      </font>
      <fill>
        <patternFill>
          <bgColor rgb="FFC00000"/>
        </patternFill>
      </fill>
    </dxf>
    <dxf>
      <font>
        <color theme="0"/>
      </font>
      <fill>
        <patternFill>
          <bgColor rgb="FF008000"/>
        </patternFill>
      </fill>
    </dxf>
    <dxf>
      <font>
        <color rgb="FFC00000"/>
      </font>
    </dxf>
    <dxf>
      <font>
        <color rgb="FFFFFF00"/>
      </font>
      <fill>
        <patternFill>
          <bgColor rgb="FFC00000"/>
        </patternFill>
      </fill>
    </dxf>
    <dxf>
      <font>
        <color rgb="FFFFFF00"/>
      </font>
      <fill>
        <patternFill>
          <bgColor rgb="FFC00000"/>
        </patternFill>
      </fill>
    </dxf>
    <dxf>
      <font>
        <color theme="0"/>
      </font>
      <fill>
        <patternFill>
          <bgColor rgb="FF008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C00000"/>
      </font>
    </dxf>
    <dxf>
      <font>
        <color rgb="FFC00000"/>
      </font>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
      <font>
        <color rgb="FFFFFF00"/>
      </font>
      <fill>
        <patternFill>
          <bgColor rgb="FFC00000"/>
        </patternFill>
      </fill>
    </dxf>
  </dxfs>
  <tableStyles count="0" defaultTableStyle="TableStyleMedium2" defaultPivotStyle="PivotStyleLight16"/>
  <colors>
    <mruColors>
      <color rgb="FFFFCCFF"/>
      <color rgb="FF0000FF"/>
      <color rgb="FF006600"/>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23" Type="http://schemas.openxmlformats.org/officeDocument/2006/relationships/customXml" Target="../customXml/item6.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xternalDataSources/SPE/Inbox/Imported/Raattama%20COF%20A%20Limited.xlsx.1810993.xlsx.181185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e_registration"/>
      <sheetName val="spe_sponsor"/>
      <sheetName val="spe_originator"/>
      <sheetName val="spe_consolidator"/>
      <sheetName val="spe_nci"/>
      <sheetName val="lists_mult"/>
      <sheetName val="dates"/>
      <sheetName val="spe_guarantor"/>
      <sheetName val="spe_db_register"/>
      <sheetName val="spe_db_racsp"/>
      <sheetName val="spe_db_interlinkages"/>
      <sheetName val="lists"/>
    </sheetNames>
    <sheetDataSet>
      <sheetData sheetId="0">
        <row r="117">
          <cell r="I117" t="str">
            <v>05/08/2022 13:31:02.57</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ables/table1.xml><?xml version="1.0" encoding="utf-8"?>
<table xmlns="http://schemas.openxmlformats.org/spreadsheetml/2006/main" id="1" name="Table1" displayName="Table1" ref="B1:J26" totalsRowShown="0" headerRowDxfId="32" dataDxfId="31" tableBorderDxfId="30">
  <autoFilter ref="B1:J26"/>
  <tableColumns count="9">
    <tableColumn id="1" name="InstitutionNumber" dataDxfId="29">
      <calculatedColumnFormula>IF(SUMPRODUCT(ISBLANK($E2:$H2)*1)&lt;4,spe_db_register!$D$6,"")</calculatedColumnFormula>
    </tableColumn>
    <tableColumn id="2" name="Registered Name of Vehicle" dataDxfId="28"/>
    <tableColumn id="9" name="Allocation" dataDxfId="27">
      <calculatedColumnFormula>IFERROR(IF(SUMPRODUCT(ISBLANK($E2:$H2)*1)&lt;4,1/SUMPRODUCT(((ISNONTEXT($E$2:$E$26)*1)=0)*1),""),0)</calculatedColumnFormula>
    </tableColumn>
    <tableColumn id="3" name="EntityName" dataDxfId="26"/>
    <tableColumn id="4" name="Legal Entity Identifier" dataDxfId="25"/>
    <tableColumn id="5" name=" Select Country" dataDxfId="24"/>
    <tableColumn id="6" name="Select Sector" dataDxfId="23"/>
    <tableColumn id="7" name="GuarantorDetails" dataDxfId="22">
      <calculatedColumnFormula>IF(SUMPRODUCT(ISBLANK($E2:$H2)*1)&lt;4,FALSE,"")</calculatedColumnFormula>
    </tableColumn>
    <tableColumn id="8" name="GuarantorIsSponsorFlag" dataDxfId="21">
      <calculatedColumnFormula>IF(SUMPRODUCT(ISBLANK($E2:$H2)*1)&lt;4,FALSE,"")</calculatedColumnFormula>
    </tableColumn>
  </tableColumns>
  <tableStyleInfo showFirstColumn="0" showLastColumn="0" showRowStripes="1" showColumnStripes="0"/>
</table>
</file>

<file path=xl/tables/table2.xml><?xml version="1.0" encoding="utf-8"?>
<table xmlns="http://schemas.openxmlformats.org/spreadsheetml/2006/main" id="3" name="VehicleType" displayName="VehicleType" ref="B1:B4" totalsRowShown="0" headerRowDxfId="17" dataDxfId="15" headerRowBorderDxfId="16" tableBorderDxfId="14" totalsRowBorderDxfId="13">
  <autoFilter ref="B1:B4"/>
  <tableColumns count="1">
    <tableColumn id="1" name="InstitutionType.EntityType" dataDxfId="12"/>
  </tableColumns>
  <tableStyleInfo name="TableStyleMedium5" showFirstColumn="0" showLastColumn="0" showRowStripes="1" showColumnStripes="0"/>
</table>
</file>

<file path=xl/tables/table3.xml><?xml version="1.0" encoding="utf-8"?>
<table xmlns="http://schemas.openxmlformats.org/spreadsheetml/2006/main" id="4" name="FVC" displayName="FVC" ref="D1:D19" totalsRowShown="0" headerRowDxfId="11" dataDxfId="9" headerRowBorderDxfId="10" tableBorderDxfId="8" totalsRowBorderDxfId="7">
  <autoFilter ref="D1:D19"/>
  <tableColumns count="1">
    <tableColumn id="1" name="fvcvehicletypeoptionset" dataDxfId="6"/>
  </tableColumns>
  <tableStyleInfo name="TableStyleMedium6" showFirstColumn="0" showLastColumn="0" showRowStripes="1" showColumnStripes="0"/>
</table>
</file>

<file path=xl/tables/table4.xml><?xml version="1.0" encoding="utf-8"?>
<table xmlns="http://schemas.openxmlformats.org/spreadsheetml/2006/main" id="5" name="SPV" displayName="SPV" ref="F1:F18" totalsRowShown="0" headerRowDxfId="5" dataDxfId="3" headerRowBorderDxfId="4" tableBorderDxfId="2" totalsRowBorderDxfId="1">
  <autoFilter ref="F1:F18"/>
  <tableColumns count="1">
    <tableColumn id="1" name="spvvehicletypeoptionset" dataDxfId="0"/>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pe-registration@centralbank.i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11.bin"/><Relationship Id="rId4" Type="http://schemas.openxmlformats.org/officeDocument/2006/relationships/table" Target="../tables/table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autoPageBreaks="0"/>
  </sheetPr>
  <dimension ref="A1:L119"/>
  <sheetViews>
    <sheetView tabSelected="1" workbookViewId="0">
      <selection activeCell="D85" sqref="D85"/>
    </sheetView>
  </sheetViews>
  <sheetFormatPr defaultColWidth="0" defaultRowHeight="13.8" zeroHeight="1" x14ac:dyDescent="0.25"/>
  <cols>
    <col min="1" max="2" width="4.6640625" customWidth="1"/>
    <col min="3" max="3" width="45.6640625" customWidth="1"/>
    <col min="4" max="4" width="40.6640625" customWidth="1"/>
    <col min="5" max="5" width="15.6640625" customWidth="1"/>
    <col min="6" max="6" width="3.6640625" customWidth="1"/>
    <col min="7" max="7" width="50.6640625" hidden="1" customWidth="1"/>
    <col min="8" max="8" width="1.6640625" hidden="1" customWidth="1"/>
    <col min="9" max="9" width="20.6640625" hidden="1" customWidth="1"/>
    <col min="10" max="11" width="10.6640625" hidden="1" customWidth="1"/>
    <col min="12" max="12" width="80.6640625" customWidth="1"/>
    <col min="13" max="16384" width="9.109375" hidden="1"/>
  </cols>
  <sheetData>
    <row r="1" spans="1:12" ht="10.5" customHeight="1" x14ac:dyDescent="0.25">
      <c r="A1" s="59" t="s">
        <v>53</v>
      </c>
      <c r="B1" s="59" t="s">
        <v>54</v>
      </c>
      <c r="C1" s="60" t="str">
        <f>"SPE Registration [Form Version " &amp; spe_db_register!AZ2 &amp; "]"</f>
        <v>SPE Registration [Form Version 13]</v>
      </c>
      <c r="D1" s="59" t="str">
        <f>IF(OR($I$3="XXX",$J$105&gt;0,$K$105&gt;0),
"FORM INCOMPLETE","FORM COMPLETED")</f>
        <v>FORM INCOMPLETE</v>
      </c>
      <c r="E1" s="62" t="s">
        <v>914</v>
      </c>
      <c r="F1" s="375"/>
      <c r="G1" s="61" t="s">
        <v>1373</v>
      </c>
      <c r="H1" s="61"/>
      <c r="I1" s="63" t="s">
        <v>1451</v>
      </c>
      <c r="J1" s="362" t="s">
        <v>1494</v>
      </c>
      <c r="K1" s="362" t="s">
        <v>1495</v>
      </c>
      <c r="L1" s="61" t="s">
        <v>1375</v>
      </c>
    </row>
    <row r="2" spans="1:12" ht="10.5" customHeight="1" x14ac:dyDescent="0.25">
      <c r="A2" s="64"/>
      <c r="B2" s="65"/>
      <c r="C2" s="394"/>
      <c r="D2" s="392"/>
      <c r="E2" s="393"/>
      <c r="F2" s="376"/>
      <c r="G2" s="66"/>
      <c r="H2" s="67"/>
      <c r="I2" s="68"/>
      <c r="J2" s="363"/>
      <c r="K2" s="363"/>
      <c r="L2" s="392"/>
    </row>
    <row r="3" spans="1:12" ht="10.5" customHeight="1" x14ac:dyDescent="0.25">
      <c r="A3" s="69" t="s">
        <v>53</v>
      </c>
      <c r="B3" s="70" t="s">
        <v>54</v>
      </c>
      <c r="C3" s="71" t="s">
        <v>1230</v>
      </c>
      <c r="D3" s="395" t="s">
        <v>1486</v>
      </c>
      <c r="E3" s="346" t="s">
        <v>1215</v>
      </c>
      <c r="F3" s="376" t="str">
        <f>IF(OR(J3=0,K3=0),"N","Y")</f>
        <v>N</v>
      </c>
      <c r="G3" s="204" t="s">
        <v>1280</v>
      </c>
      <c r="H3" s="67"/>
      <c r="I3" s="73" t="str">
        <f>IFERROR(VLOOKUP($D3,lists!$F$2:$G$3,2,FALSE),"XXX")</f>
        <v>XXX</v>
      </c>
      <c r="J3" s="361">
        <f>IF($I3="XXX",0,1)</f>
        <v>0</v>
      </c>
      <c r="K3" s="361">
        <f>IF($I3="XXX",0,1)</f>
        <v>0</v>
      </c>
      <c r="L3" s="74" t="str">
        <f>IF($I$3="XXX","Please select Vehicle Type from drop-down list.","Vehicle Type selected is " &amp; $D$3)</f>
        <v>Please select Vehicle Type from drop-down list.</v>
      </c>
    </row>
    <row r="4" spans="1:12" ht="10.5" customHeight="1" x14ac:dyDescent="0.25">
      <c r="A4" s="64"/>
      <c r="B4" s="65"/>
      <c r="C4" s="75"/>
      <c r="D4" s="392"/>
      <c r="E4" s="393"/>
      <c r="F4" s="376"/>
      <c r="G4" s="66"/>
      <c r="H4" s="67"/>
      <c r="I4" s="68"/>
      <c r="J4" s="363"/>
      <c r="K4" s="363"/>
      <c r="L4" s="76"/>
    </row>
    <row r="5" spans="1:12" ht="10.5" customHeight="1" x14ac:dyDescent="0.25">
      <c r="A5" s="69" t="s">
        <v>53</v>
      </c>
      <c r="B5" s="70" t="s">
        <v>54</v>
      </c>
      <c r="C5" s="71" t="s">
        <v>917</v>
      </c>
      <c r="D5" s="121"/>
      <c r="E5" s="341" t="s">
        <v>1241</v>
      </c>
      <c r="F5" s="376" t="str">
        <f>IF(OR(J5=0,K5=0),"N","Y")</f>
        <v>N</v>
      </c>
      <c r="G5" s="204" t="s">
        <v>1273</v>
      </c>
      <c r="H5" s="67"/>
      <c r="I5" s="78" t="str">
        <f>IF(ISBLANK(D5),"NULL",LEFT(T($D$5),255))</f>
        <v>NULL</v>
      </c>
      <c r="J5" s="361">
        <f>IF($I5="NULL",0,1)</f>
        <v>0</v>
      </c>
      <c r="K5" s="361">
        <f>IF($I5="NULL",0,1)</f>
        <v>0</v>
      </c>
      <c r="L5" s="76" t="str">
        <f>IF($I$5="NULL","Please supply full legal name of registered vehicle.","Legal Name of Registered Vehicle is " &amp; D$5)</f>
        <v>Please supply full legal name of registered vehicle.</v>
      </c>
    </row>
    <row r="6" spans="1:12" ht="10.5" customHeight="1" x14ac:dyDescent="0.25">
      <c r="A6" s="64"/>
      <c r="B6" s="65"/>
      <c r="C6" s="75"/>
      <c r="D6" s="392"/>
      <c r="E6" s="393"/>
      <c r="F6" s="376"/>
      <c r="G6" s="66"/>
      <c r="H6" s="67"/>
      <c r="I6" s="68"/>
      <c r="J6" s="363"/>
      <c r="K6" s="363"/>
      <c r="L6" s="76"/>
    </row>
    <row r="7" spans="1:12" ht="10.5" customHeight="1" x14ac:dyDescent="0.25">
      <c r="A7" s="69" t="s">
        <v>53</v>
      </c>
      <c r="B7" s="70" t="s">
        <v>54</v>
      </c>
      <c r="C7" s="71" t="s">
        <v>1211</v>
      </c>
      <c r="D7" s="342"/>
      <c r="E7" s="341" t="str">
        <f>IF(AND(LEN($D$7)&lt;&gt;0,LEN($D$7)&lt;&gt;20),"Invalid LEI","Text")</f>
        <v>Text</v>
      </c>
      <c r="F7" s="376" t="str">
        <f>IF($E$7="Invalid LEI","N","Y")</f>
        <v>Y</v>
      </c>
      <c r="G7" s="72" t="s">
        <v>1281</v>
      </c>
      <c r="H7" s="67"/>
      <c r="I7" s="78" t="str">
        <f>IF(OR(ISBLANK(D7),$F$7="N"),"NULL",LEFT($D$7,20))</f>
        <v>NULL</v>
      </c>
      <c r="J7" s="371">
        <f>IF($F$7="N",0,1)</f>
        <v>1</v>
      </c>
      <c r="K7" s="371">
        <f>IF($F$7="N",0,1)</f>
        <v>1</v>
      </c>
      <c r="L7" s="76" t="s">
        <v>1568</v>
      </c>
    </row>
    <row r="8" spans="1:12" ht="10.5" customHeight="1" x14ac:dyDescent="0.25">
      <c r="A8" s="64"/>
      <c r="B8" s="65"/>
      <c r="C8" s="75"/>
      <c r="D8" s="392"/>
      <c r="E8" s="393"/>
      <c r="F8" s="376"/>
      <c r="G8" s="66"/>
      <c r="H8" s="67"/>
      <c r="I8" s="68"/>
      <c r="J8" s="363"/>
      <c r="K8" s="363"/>
      <c r="L8" s="76"/>
    </row>
    <row r="9" spans="1:12" ht="10.5" customHeight="1" x14ac:dyDescent="0.25">
      <c r="A9" s="69" t="s">
        <v>53</v>
      </c>
      <c r="B9" s="70" t="s">
        <v>54</v>
      </c>
      <c r="C9" s="71" t="s">
        <v>1212</v>
      </c>
      <c r="D9" s="342"/>
      <c r="E9" s="340" t="s">
        <v>1308</v>
      </c>
      <c r="F9" s="376" t="str">
        <f>IF(OR(J9=0,K9=0),"N","Y")</f>
        <v>N</v>
      </c>
      <c r="G9" s="72" t="s">
        <v>1282</v>
      </c>
      <c r="H9" s="67"/>
      <c r="I9" s="79" t="str">
        <f>IF(ISBLANK(D9),"NULL",IFERROR(VALUE($D$9),0))</f>
        <v>NULL</v>
      </c>
      <c r="J9" s="361">
        <f>IF(OR($I9="NULL",$I$9=0),0,1)</f>
        <v>0</v>
      </c>
      <c r="K9" s="361">
        <f>IF(OR($I9="NULL",$I$9=0),0,1)</f>
        <v>0</v>
      </c>
      <c r="L9" s="76" t="str">
        <f>IF($I$9="NULL","You must supply the Companies Registration Office number for this Irish registered vehicle.","Vehicle CRO Number is " &amp; $I$9)</f>
        <v>You must supply the Companies Registration Office number for this Irish registered vehicle.</v>
      </c>
    </row>
    <row r="10" spans="1:12" ht="10.5" customHeight="1" x14ac:dyDescent="0.25">
      <c r="A10" s="64"/>
      <c r="B10" s="65"/>
      <c r="C10" s="75"/>
      <c r="D10" s="392"/>
      <c r="E10" s="393"/>
      <c r="F10" s="376"/>
      <c r="G10" s="66"/>
      <c r="H10" s="67"/>
      <c r="I10" s="68"/>
      <c r="J10" s="363"/>
      <c r="K10" s="363"/>
      <c r="L10" s="76"/>
    </row>
    <row r="11" spans="1:12" ht="10.5" customHeight="1" x14ac:dyDescent="0.25">
      <c r="A11" s="69" t="s">
        <v>53</v>
      </c>
      <c r="B11" s="70" t="s">
        <v>54</v>
      </c>
      <c r="C11" s="71" t="s">
        <v>1214</v>
      </c>
      <c r="D11" s="395" t="s">
        <v>1486</v>
      </c>
      <c r="E11" s="346" t="s">
        <v>1215</v>
      </c>
      <c r="F11" s="376" t="str">
        <f>IF(OR(J11=0,K11=0),"N","Y")</f>
        <v>N</v>
      </c>
      <c r="G11" s="204" t="s">
        <v>1290</v>
      </c>
      <c r="H11" s="67"/>
      <c r="I11" s="78" t="str">
        <f>IF(OR($D$11="Please Select",$D$11=0),"NULL",$D$11)</f>
        <v>NULL</v>
      </c>
      <c r="J11" s="361">
        <f>IF($I11="NULL",0,1)</f>
        <v>0</v>
      </c>
      <c r="K11" s="361">
        <f>IF($I11="NULL",0,1)</f>
        <v>0</v>
      </c>
      <c r="L11" s="74" t="str">
        <f>IF($I$11="NULL","Please select Company Type from drop-down list.","Company Type is " &amp; $D$11)</f>
        <v>Please select Company Type from drop-down list.</v>
      </c>
    </row>
    <row r="12" spans="1:12" ht="10.5" customHeight="1" x14ac:dyDescent="0.25">
      <c r="A12" s="64"/>
      <c r="B12" s="65"/>
      <c r="C12" s="394"/>
      <c r="D12" s="392"/>
      <c r="E12" s="393"/>
      <c r="F12" s="376"/>
      <c r="G12" s="66"/>
      <c r="H12" s="67"/>
      <c r="I12" s="68"/>
      <c r="J12" s="363"/>
      <c r="K12" s="363"/>
      <c r="L12" s="76"/>
    </row>
    <row r="13" spans="1:12" ht="10.5" customHeight="1" x14ac:dyDescent="0.25">
      <c r="A13" s="69" t="s">
        <v>53</v>
      </c>
      <c r="B13" s="70" t="s">
        <v>54</v>
      </c>
      <c r="C13" s="71" t="s">
        <v>1419</v>
      </c>
      <c r="D13" s="122"/>
      <c r="E13" s="341" t="s">
        <v>1241</v>
      </c>
      <c r="F13" s="376" t="str">
        <f t="shared" ref="F13:F19" si="0">IF(OR(J$20=0,K$20=0),"N","Y")</f>
        <v>N</v>
      </c>
      <c r="G13" s="72" t="s">
        <v>1272</v>
      </c>
      <c r="H13" s="67"/>
      <c r="I13" s="78" t="str">
        <f>IF(ISBLANK(D13),"NULL",LEFT(D13,128))</f>
        <v>NULL</v>
      </c>
      <c r="J13" s="371">
        <f t="shared" ref="J13:K19" si="1">IF($I13="NULL",0,1)</f>
        <v>0</v>
      </c>
      <c r="K13" s="371">
        <f t="shared" si="1"/>
        <v>0</v>
      </c>
      <c r="L13" s="76" t="str">
        <f>IF(SUMPRODUCT(($I$13:$I$19="NULL")*1)=7,"Please supply Registered Address of the vehicle","")</f>
        <v/>
      </c>
    </row>
    <row r="14" spans="1:12" ht="10.5" customHeight="1" x14ac:dyDescent="0.25">
      <c r="A14" s="69" t="s">
        <v>53</v>
      </c>
      <c r="B14" s="70" t="s">
        <v>54</v>
      </c>
      <c r="C14" s="71" t="s">
        <v>1420</v>
      </c>
      <c r="D14" s="122"/>
      <c r="E14" s="341" t="s">
        <v>1241</v>
      </c>
      <c r="F14" s="376" t="str">
        <f t="shared" si="0"/>
        <v>N</v>
      </c>
      <c r="G14" s="72" t="s">
        <v>1274</v>
      </c>
      <c r="H14" s="67"/>
      <c r="I14" s="78" t="str">
        <f>IF(ISBLANK(D14),"NULL",LEFT(D14,128))</f>
        <v>NULL</v>
      </c>
      <c r="J14" s="371">
        <f t="shared" si="1"/>
        <v>0</v>
      </c>
      <c r="K14" s="371">
        <f t="shared" si="1"/>
        <v>0</v>
      </c>
      <c r="L14" s="76"/>
    </row>
    <row r="15" spans="1:12" ht="10.5" customHeight="1" x14ac:dyDescent="0.25">
      <c r="A15" s="69" t="s">
        <v>53</v>
      </c>
      <c r="B15" s="70" t="s">
        <v>54</v>
      </c>
      <c r="C15" s="71" t="s">
        <v>1421</v>
      </c>
      <c r="D15" s="122"/>
      <c r="E15" s="341" t="s">
        <v>1241</v>
      </c>
      <c r="F15" s="376" t="str">
        <f t="shared" si="0"/>
        <v>N</v>
      </c>
      <c r="G15" s="72" t="s">
        <v>1275</v>
      </c>
      <c r="H15" s="67"/>
      <c r="I15" s="78" t="str">
        <f>IF(ISBLANK(D15),"NULL",LEFT(D15,128))</f>
        <v>NULL</v>
      </c>
      <c r="J15" s="371">
        <f t="shared" si="1"/>
        <v>0</v>
      </c>
      <c r="K15" s="371">
        <f t="shared" si="1"/>
        <v>0</v>
      </c>
      <c r="L15" s="76"/>
    </row>
    <row r="16" spans="1:12" ht="10.5" customHeight="1" x14ac:dyDescent="0.25">
      <c r="A16" s="69" t="s">
        <v>53</v>
      </c>
      <c r="B16" s="70" t="s">
        <v>54</v>
      </c>
      <c r="C16" s="71" t="s">
        <v>1422</v>
      </c>
      <c r="D16" s="122"/>
      <c r="E16" s="341" t="s">
        <v>1241</v>
      </c>
      <c r="F16" s="376" t="str">
        <f t="shared" si="0"/>
        <v>N</v>
      </c>
      <c r="G16" s="72" t="s">
        <v>1276</v>
      </c>
      <c r="H16" s="67"/>
      <c r="I16" s="78" t="str">
        <f>IF(ISBLANK(D16),"NULL",LEFT(D16,128))</f>
        <v>NULL</v>
      </c>
      <c r="J16" s="371">
        <f t="shared" si="1"/>
        <v>0</v>
      </c>
      <c r="K16" s="371">
        <f t="shared" si="1"/>
        <v>0</v>
      </c>
      <c r="L16" s="76"/>
    </row>
    <row r="17" spans="1:12" ht="10.5" customHeight="1" x14ac:dyDescent="0.25">
      <c r="A17" s="69" t="s">
        <v>53</v>
      </c>
      <c r="B17" s="70" t="s">
        <v>54</v>
      </c>
      <c r="C17" s="71" t="s">
        <v>905</v>
      </c>
      <c r="D17" s="122"/>
      <c r="E17" s="341" t="s">
        <v>1241</v>
      </c>
      <c r="F17" s="376" t="str">
        <f t="shared" si="0"/>
        <v>N</v>
      </c>
      <c r="G17" s="72" t="s">
        <v>1277</v>
      </c>
      <c r="H17" s="67"/>
      <c r="I17" s="78" t="str">
        <f>IF(ISBLANK(D17),"NULL",LEFT(D17,32))</f>
        <v>NULL</v>
      </c>
      <c r="J17" s="371">
        <f t="shared" si="1"/>
        <v>0</v>
      </c>
      <c r="K17" s="371">
        <f t="shared" si="1"/>
        <v>0</v>
      </c>
      <c r="L17" s="76"/>
    </row>
    <row r="18" spans="1:12" ht="10.5" customHeight="1" x14ac:dyDescent="0.25">
      <c r="A18" s="69" t="s">
        <v>53</v>
      </c>
      <c r="B18" s="70" t="s">
        <v>54</v>
      </c>
      <c r="C18" s="71" t="s">
        <v>906</v>
      </c>
      <c r="D18" s="122"/>
      <c r="E18" s="341" t="s">
        <v>1241</v>
      </c>
      <c r="F18" s="376" t="str">
        <f t="shared" si="0"/>
        <v>N</v>
      </c>
      <c r="G18" s="72" t="s">
        <v>1278</v>
      </c>
      <c r="H18" s="67"/>
      <c r="I18" s="78" t="str">
        <f>IF(ISBLANK($D$18),"NULL",LEFT(TRIM(UPPER($D$18)),7))</f>
        <v>NULL</v>
      </c>
      <c r="J18" s="371">
        <f t="shared" si="1"/>
        <v>0</v>
      </c>
      <c r="K18" s="371">
        <f t="shared" si="1"/>
        <v>0</v>
      </c>
      <c r="L18" s="76" t="str">
        <f>IF($I$18&lt;&gt;"NULL","Eircode is from " &amp; VLOOKUP(LEFT($I$18,3),lists!$Z$2:$AA$140,2,FALSE),"")</f>
        <v/>
      </c>
    </row>
    <row r="19" spans="1:12" ht="10.5" customHeight="1" x14ac:dyDescent="0.25">
      <c r="A19" s="69" t="s">
        <v>53</v>
      </c>
      <c r="B19" s="70" t="s">
        <v>54</v>
      </c>
      <c r="C19" s="71" t="s">
        <v>7</v>
      </c>
      <c r="D19" s="123" t="s">
        <v>583</v>
      </c>
      <c r="E19" s="346" t="s">
        <v>1464</v>
      </c>
      <c r="F19" s="376" t="str">
        <f t="shared" si="0"/>
        <v>N</v>
      </c>
      <c r="G19" s="72" t="s">
        <v>1279</v>
      </c>
      <c r="H19" s="67"/>
      <c r="I19" s="78" t="str">
        <f>IF(LEFT(D19,2)="","NULL",LEFT(D19,2))</f>
        <v>IE</v>
      </c>
      <c r="J19" s="371">
        <f t="shared" si="1"/>
        <v>1</v>
      </c>
      <c r="K19" s="371">
        <f t="shared" si="1"/>
        <v>1</v>
      </c>
      <c r="L19" s="76"/>
    </row>
    <row r="20" spans="1:12" ht="10.5" customHeight="1" x14ac:dyDescent="0.25">
      <c r="A20" s="80"/>
      <c r="B20" s="81"/>
      <c r="C20" s="75"/>
      <c r="D20" s="82"/>
      <c r="E20" s="393"/>
      <c r="F20" s="376"/>
      <c r="G20" s="66"/>
      <c r="H20" s="67"/>
      <c r="I20" s="83"/>
      <c r="J20" s="364">
        <f>AND(SUM($J$13:$J$18)&gt;=1,$J$19=1)*1</f>
        <v>0</v>
      </c>
      <c r="K20" s="364">
        <f>AND(SUM($K$13:$K$18)&gt;=1,$K$19=1)*1</f>
        <v>0</v>
      </c>
      <c r="L20" s="392"/>
    </row>
    <row r="21" spans="1:12" ht="10.5" customHeight="1" x14ac:dyDescent="0.25">
      <c r="A21" s="84"/>
      <c r="B21" s="85"/>
      <c r="C21" s="60" t="s">
        <v>1240</v>
      </c>
      <c r="D21" s="86"/>
      <c r="E21" s="398"/>
      <c r="F21" s="375"/>
      <c r="G21" s="87"/>
      <c r="H21" s="88"/>
      <c r="I21" s="89"/>
      <c r="J21" s="365"/>
      <c r="K21" s="365"/>
      <c r="L21" s="396"/>
    </row>
    <row r="22" spans="1:12" ht="10.5" customHeight="1" x14ac:dyDescent="0.25">
      <c r="A22" s="64"/>
      <c r="B22" s="65"/>
      <c r="C22" s="394"/>
      <c r="D22" s="392"/>
      <c r="E22" s="393"/>
      <c r="F22" s="376"/>
      <c r="G22" s="66"/>
      <c r="H22" s="67"/>
      <c r="I22" s="68"/>
      <c r="J22" s="363"/>
      <c r="K22" s="363"/>
      <c r="L22" s="392"/>
    </row>
    <row r="23" spans="1:12" ht="10.5" customHeight="1" x14ac:dyDescent="0.25">
      <c r="A23" s="69" t="s">
        <v>53</v>
      </c>
      <c r="B23" s="97"/>
      <c r="C23" s="71" t="s">
        <v>1216</v>
      </c>
      <c r="D23" s="558" t="s">
        <v>1486</v>
      </c>
      <c r="E23" s="400" t="s">
        <v>1508</v>
      </c>
      <c r="F23" s="376" t="str">
        <f>IF(OR(AND($I$3="FVC",J23=0),AND($I$3="SPV",K23=0)),"N","Y")</f>
        <v>Y</v>
      </c>
      <c r="G23" s="98" t="s">
        <v>1350</v>
      </c>
      <c r="H23" s="99"/>
      <c r="I23" s="78" t="str">
        <f>IFERROR(IF($I$3="FVC",VLOOKUP($D23,lists!$C$1:$E$4,3,FALSE),"NULL"),"NULL")</f>
        <v>NULL</v>
      </c>
      <c r="J23" s="361">
        <f>IF($I23="NULL",0,1)</f>
        <v>0</v>
      </c>
      <c r="K23" s="371">
        <f>IF(AND($I$3="SPV", $D$23="Yes"),0,1)</f>
        <v>1</v>
      </c>
      <c r="L23" s="100" t="str">
        <f>IF(AND($I$3="FVC",$D$23="Yes"),"FVC: This company meets the definition of 'Securitisation' under ECB/2013/40",
IF(AND($I$3="FVC",$D$23="No"),"FVC: This company does NOT meet the definition of 'Securitisation' under ECB/2013/40",
IF(AND($I$3="FVC",$I$23="NULL"),"FVC: Please confirm if this company meets the definition of 'Securitisation' under ECB/2013/40","")))</f>
        <v/>
      </c>
    </row>
    <row r="24" spans="1:12" ht="10.5" customHeight="1" x14ac:dyDescent="0.25">
      <c r="A24" s="69" t="s">
        <v>53</v>
      </c>
      <c r="B24" s="97"/>
      <c r="C24" s="71" t="s">
        <v>913</v>
      </c>
      <c r="D24" s="560" t="s">
        <v>1486</v>
      </c>
      <c r="E24" s="346" t="s">
        <v>1215</v>
      </c>
      <c r="F24" s="376" t="str">
        <f>IF($J$24=0,"N","Y")</f>
        <v>Y</v>
      </c>
      <c r="G24" s="204" t="s">
        <v>1231</v>
      </c>
      <c r="H24" s="99"/>
      <c r="I24" s="78" t="str">
        <f>IF($I$23&lt;&gt;TRUE,"NULL",IF(OR($D$24="Please Select",$D$24=0),"NULL",$D$24))</f>
        <v>NULL</v>
      </c>
      <c r="J24" s="361">
        <f>IF(AND($I$23=TRUE,$I24="NULL"),0,1)</f>
        <v>1</v>
      </c>
      <c r="K24" s="371">
        <v>1</v>
      </c>
      <c r="L24" s="74" t="str">
        <f>IF(AND($I$3="FVC",$D$23&lt;&gt;"Yes"),"FVC: Please select Nature of Securitisation from drop-down list.","")</f>
        <v/>
      </c>
    </row>
    <row r="25" spans="1:12" ht="31.5" customHeight="1" x14ac:dyDescent="0.25">
      <c r="A25" s="90" t="s">
        <v>53</v>
      </c>
      <c r="B25" s="97"/>
      <c r="C25" s="92" t="s">
        <v>1306</v>
      </c>
      <c r="D25" s="124"/>
      <c r="E25" s="343" t="s">
        <v>1241</v>
      </c>
      <c r="F25" s="376" t="str">
        <f>IF(AND($I$3="FVC",J25=0),"N","Y")</f>
        <v>Y</v>
      </c>
      <c r="G25" s="93" t="s">
        <v>1343</v>
      </c>
      <c r="H25" s="94"/>
      <c r="I25" s="101" t="str">
        <f>IF(AND($I$3="FVC",$I$23=TRUE),
IF(AND($I$24="Other",$D25=""),"More Information Required",LEFT(D$25,511)),"NULL")</f>
        <v>NULL</v>
      </c>
      <c r="J25" s="369">
        <f>IF($I25="More Information Required",0,1)</f>
        <v>1</v>
      </c>
      <c r="K25" s="371">
        <v>1</v>
      </c>
      <c r="L25" s="96" t="str">
        <f>IF(AND($I$3="FVC",$D$23="Yes"),
IF(T($D$25)&lt;&gt;"","FVC: Information Supplied",
IF($D$24="Other","FVC: If Nature of Securitisations equals 'Other' it is mandatory to supply details.","FVC: Please provide any additional information.")),"")</f>
        <v/>
      </c>
    </row>
    <row r="26" spans="1:12" ht="10.5" customHeight="1" x14ac:dyDescent="0.25">
      <c r="A26" s="64"/>
      <c r="B26" s="65"/>
      <c r="C26" s="394"/>
      <c r="D26" s="392"/>
      <c r="E26" s="393"/>
      <c r="F26" s="376"/>
      <c r="G26" s="66"/>
      <c r="H26" s="67"/>
      <c r="I26" s="68"/>
      <c r="J26" s="363"/>
      <c r="K26" s="363"/>
      <c r="L26" s="392"/>
    </row>
    <row r="27" spans="1:12" ht="10.5" customHeight="1" x14ac:dyDescent="0.25">
      <c r="A27" s="90" t="s">
        <v>53</v>
      </c>
      <c r="B27" s="70" t="s">
        <v>54</v>
      </c>
      <c r="C27" s="71" t="s">
        <v>1217</v>
      </c>
      <c r="D27" s="397" t="s">
        <v>1486</v>
      </c>
      <c r="E27" s="400" t="s">
        <v>1508</v>
      </c>
      <c r="F27" s="376" t="str">
        <f>IF(OR(J27=0,K27=0),"N","Y")</f>
        <v>N</v>
      </c>
      <c r="G27" s="98" t="s">
        <v>1351</v>
      </c>
      <c r="H27" s="99"/>
      <c r="I27" s="78" t="str">
        <f>IF(OR($D$27="Please Select",$D$27=0),"NULL",VLOOKUP($D$27,lists!$C$1:$E$4,3,FALSE))</f>
        <v>NULL</v>
      </c>
      <c r="J27" s="361">
        <f>IF($I27="NULL",0,1)</f>
        <v>0</v>
      </c>
      <c r="K27" s="361">
        <f>IF($I27="NULL",0,1)</f>
        <v>0</v>
      </c>
      <c r="L27" s="74" t="str">
        <f>IF($I$27="NULL","Please confirm if the Vehicle has or intends to register under Section 110 of the Irish Taxes Consolidation Act 1997.",
IF($I$27=TRUE,"Vehicle does avail of Section 110 of the Irish Taxes Consolidation Act 1997.", "Vehicle does NOT avail of Section 110 of the Irish Taxes Consolidation Act 1997."))</f>
        <v>Please confirm if the Vehicle has or intends to register under Section 110 of the Irish Taxes Consolidation Act 1997.</v>
      </c>
    </row>
    <row r="28" spans="1:12" ht="10.5" customHeight="1" x14ac:dyDescent="0.25">
      <c r="A28" s="64"/>
      <c r="B28" s="65"/>
      <c r="C28" s="394"/>
      <c r="D28" s="392"/>
      <c r="E28" s="393"/>
      <c r="F28" s="376"/>
      <c r="G28" s="66"/>
      <c r="H28" s="67"/>
      <c r="I28" s="68"/>
      <c r="J28" s="363"/>
      <c r="K28" s="363"/>
      <c r="L28" s="392"/>
    </row>
    <row r="29" spans="1:12" ht="10.5" customHeight="1" x14ac:dyDescent="0.25">
      <c r="A29" s="69" t="s">
        <v>53</v>
      </c>
      <c r="B29" s="97"/>
      <c r="C29" s="71" t="s">
        <v>1470</v>
      </c>
      <c r="D29" s="397" t="s">
        <v>1486</v>
      </c>
      <c r="E29" s="400" t="s">
        <v>1508</v>
      </c>
      <c r="F29" s="376" t="str">
        <f>IF(OR(J29=0,K29=0),"N","Y")</f>
        <v>Y</v>
      </c>
      <c r="G29" s="98" t="s">
        <v>1471</v>
      </c>
      <c r="H29" s="67"/>
      <c r="I29" s="78" t="str">
        <f>IFERROR(IF($I$3="FVC",VLOOKUP($D29,lists!$C$1:$E$4,3,FALSE),"FALSE"),"NULL")</f>
        <v>FALSE</v>
      </c>
      <c r="J29" s="361">
        <f>IF($I29="NULL",0,1)</f>
        <v>1</v>
      </c>
      <c r="K29" s="371">
        <v>1</v>
      </c>
      <c r="L29" s="74" t="str">
        <f>IF($I$3="FVC",
IF($I$29="NULL","Please confirm whether this is a Multi-Issuance Vehicle",
IF($I$29=TRUE,"This vehicle is a MIV - Multi-Issueance Vehicle. Please select the primary Vehicle Activity next.", "This vehicle is NOT a MIV - Multi-Issueance Vehicle.")),"Not Applicable")</f>
        <v>Not Applicable</v>
      </c>
    </row>
    <row r="30" spans="1:12" ht="10.5" customHeight="1" x14ac:dyDescent="0.25">
      <c r="A30" s="64"/>
      <c r="B30" s="65"/>
      <c r="C30" s="394"/>
      <c r="D30" s="392"/>
      <c r="E30" s="393"/>
      <c r="F30" s="376"/>
      <c r="G30" s="66"/>
      <c r="H30" s="67"/>
      <c r="I30" s="68"/>
      <c r="J30" s="363"/>
      <c r="K30" s="363"/>
      <c r="L30" s="392"/>
    </row>
    <row r="31" spans="1:12" ht="10.5" customHeight="1" x14ac:dyDescent="0.25">
      <c r="A31" s="69" t="s">
        <v>53</v>
      </c>
      <c r="B31" s="70" t="s">
        <v>54</v>
      </c>
      <c r="C31" s="379" t="s">
        <v>911</v>
      </c>
      <c r="D31" s="381"/>
      <c r="E31" s="346" t="s">
        <v>1215</v>
      </c>
      <c r="F31" s="376" t="str">
        <f>IF(OR(J31=0,K31=0),"N","Y")</f>
        <v>N</v>
      </c>
      <c r="G31" s="204" t="s">
        <v>1341</v>
      </c>
      <c r="H31" s="67"/>
      <c r="I31" s="78" t="str">
        <f>IF(OR(T($D$31)="",$D$31="Vehicle Activity To Be Confirmed"),"NULL",T($D$31))</f>
        <v>NULL</v>
      </c>
      <c r="J31" s="361">
        <f>IF($I31="NULL",0,1)</f>
        <v>0</v>
      </c>
      <c r="K31" s="361">
        <f>IF($I31="NULL",0,1)</f>
        <v>0</v>
      </c>
      <c r="L31" s="74" t="str">
        <f>IF($I$31="NULL","Please select Vehicle Activity from drop-down list.","Vehicle Type is "&amp;$I$31)</f>
        <v>Please select Vehicle Activity from drop-down list.</v>
      </c>
    </row>
    <row r="32" spans="1:12" ht="31.5" customHeight="1" x14ac:dyDescent="0.25">
      <c r="A32" s="90" t="s">
        <v>53</v>
      </c>
      <c r="B32" s="91" t="s">
        <v>54</v>
      </c>
      <c r="C32" s="380" t="s">
        <v>1261</v>
      </c>
      <c r="D32" s="253"/>
      <c r="E32" s="343" t="s">
        <v>1241</v>
      </c>
      <c r="F32" s="376" t="str">
        <f>IF(OR(J32=0,K32=0),"N","Y")</f>
        <v>Y</v>
      </c>
      <c r="G32" s="93" t="s">
        <v>1344</v>
      </c>
      <c r="H32" s="94"/>
      <c r="I32" s="95" t="str">
        <f>IF(AND($I$31="Other",$D32=""),
"More Information Required",
IF($D$32="","NULL",LEFT($D$32,511)))</f>
        <v>NULL</v>
      </c>
      <c r="J32" s="361">
        <f>IF($I32="More Information Required",0,1)</f>
        <v>1</v>
      </c>
      <c r="K32" s="361">
        <f>IF($I32="More Information Required",0,1)</f>
        <v>1</v>
      </c>
      <c r="L32" s="96" t="str">
        <f>IF(T($D$32)&lt;&gt;"","Information Supplied",
IF(OR($I$29=TRUE,$I$31="Other"),"If it is a Multi-Issuance Vehicle or the Vehicle Type equals 'Other' it is mandatory to supply details","Please provide any additional information."))</f>
        <v>Please provide any additional information.</v>
      </c>
    </row>
    <row r="33" spans="1:12" ht="10.5" customHeight="1" x14ac:dyDescent="0.25">
      <c r="A33" s="64"/>
      <c r="B33" s="65"/>
      <c r="C33" s="394"/>
      <c r="D33" s="392"/>
      <c r="E33" s="393"/>
      <c r="F33" s="376"/>
      <c r="G33" s="66"/>
      <c r="H33" s="67"/>
      <c r="I33" s="68"/>
      <c r="J33" s="363"/>
      <c r="K33" s="363"/>
      <c r="L33" s="392"/>
    </row>
    <row r="34" spans="1:12" ht="10.5" customHeight="1" x14ac:dyDescent="0.25">
      <c r="A34" s="69" t="s">
        <v>53</v>
      </c>
      <c r="B34" s="70" t="s">
        <v>54</v>
      </c>
      <c r="C34" s="71" t="s">
        <v>912</v>
      </c>
      <c r="D34" s="395"/>
      <c r="E34" s="346" t="s">
        <v>1509</v>
      </c>
      <c r="F34" s="376" t="str">
        <f>IF(OR(J34=0,K34=0),"N","Y")</f>
        <v>N</v>
      </c>
      <c r="G34" s="204" t="s">
        <v>1342</v>
      </c>
      <c r="H34" s="67"/>
      <c r="I34" s="78" t="str">
        <f>IFERROR(VLOOKUP($D$34,lists!$N$1:$O$167,2,FALSE),"XXX")</f>
        <v>XXX</v>
      </c>
      <c r="J34" s="361">
        <f>IF($I34="XXX",0,1)</f>
        <v>0</v>
      </c>
      <c r="K34" s="361">
        <f>IF($I34="XXX",0,1)</f>
        <v>0</v>
      </c>
      <c r="L34" s="74" t="str">
        <f>IF(I34="XXX","Please select Vehicle Currency from drop-down list.","The Vehicle Currency is " &amp; I34)</f>
        <v>Please select Vehicle Currency from drop-down list.</v>
      </c>
    </row>
    <row r="35" spans="1:12" ht="10.5" customHeight="1" x14ac:dyDescent="0.25">
      <c r="A35" s="64"/>
      <c r="B35" s="65"/>
      <c r="C35" s="394"/>
      <c r="D35" s="392"/>
      <c r="E35" s="393"/>
      <c r="F35" s="376"/>
      <c r="G35" s="66"/>
      <c r="H35" s="67"/>
      <c r="I35" s="68"/>
      <c r="J35" s="363"/>
      <c r="K35" s="363"/>
      <c r="L35" s="392"/>
    </row>
    <row r="36" spans="1:12" ht="10.5" customHeight="1" x14ac:dyDescent="0.25">
      <c r="A36" s="64"/>
      <c r="B36" s="65"/>
      <c r="C36" s="394"/>
      <c r="D36" s="392"/>
      <c r="E36" s="393"/>
      <c r="F36" s="376"/>
      <c r="G36" s="66"/>
      <c r="H36" s="67"/>
      <c r="I36" s="68"/>
      <c r="J36" s="363"/>
      <c r="K36" s="363"/>
      <c r="L36" s="392"/>
    </row>
    <row r="37" spans="1:12" ht="10.5" customHeight="1" x14ac:dyDescent="0.25">
      <c r="A37" s="69" t="s">
        <v>53</v>
      </c>
      <c r="B37" s="70" t="s">
        <v>54</v>
      </c>
      <c r="C37" s="71" t="s">
        <v>1233</v>
      </c>
      <c r="D37" s="558" t="s">
        <v>1486</v>
      </c>
      <c r="E37" s="400" t="s">
        <v>1508</v>
      </c>
      <c r="F37" s="376" t="str">
        <f>IF(OR(J37=0,K37=0),"N","Y")</f>
        <v>N</v>
      </c>
      <c r="G37" s="98" t="s">
        <v>1352</v>
      </c>
      <c r="H37" s="99"/>
      <c r="I37" s="78" t="str">
        <f>IF(OR($D37="Please Select",$D$37=0),"NULL",VLOOKUP($D37,lists!$C$1:$E$4,3,FALSE))</f>
        <v>NULL</v>
      </c>
      <c r="J37" s="361">
        <f>IF($I37="NULL",0,1)</f>
        <v>0</v>
      </c>
      <c r="K37" s="361">
        <f>IF($I37="NULL",0,1)</f>
        <v>0</v>
      </c>
      <c r="L37" s="74" t="str">
        <f>IF($I$37="NULL","Has the Vehicle an Orphan Structure (Bankruptcy Remoteness)?",
IF($I$37=TRUE,"Vehicle has an Orphan Stucture (Bankruptcy Remoteness).", "Vehicle does not have an Orphan Structure (Bankruptcy Remoteness)."))</f>
        <v>Has the Vehicle an Orphan Structure (Bankruptcy Remoteness)?</v>
      </c>
    </row>
    <row r="38" spans="1:12" ht="10.5" customHeight="1" x14ac:dyDescent="0.25">
      <c r="A38" s="69" t="s">
        <v>53</v>
      </c>
      <c r="B38" s="70" t="s">
        <v>54</v>
      </c>
      <c r="C38" s="71" t="s">
        <v>1234</v>
      </c>
      <c r="D38" s="558" t="s">
        <v>1486</v>
      </c>
      <c r="E38" s="400" t="s">
        <v>1508</v>
      </c>
      <c r="F38" s="376" t="str">
        <f>IF(OR(J38=0,K38=0),"N","Y")</f>
        <v>N</v>
      </c>
      <c r="G38" s="98" t="s">
        <v>1353</v>
      </c>
      <c r="H38" s="99"/>
      <c r="I38" s="78" t="str">
        <f>IF(OR($D38="Please Select",$D$38=0),"NULL",VLOOKUP($D38,lists!$C$1:$E$4,3,FALSE))</f>
        <v>NULL</v>
      </c>
      <c r="J38" s="361">
        <f>IF($I38="NULL",0,1)</f>
        <v>0</v>
      </c>
      <c r="K38" s="361">
        <f>IF($I38="NULL",0,1)</f>
        <v>0</v>
      </c>
      <c r="L38" s="74" t="str">
        <f>IF($I$38="NULL","Has the vehicle a Multi-Vehicle Structure?",
IF($I$38=TRUE,"Vehicle has a Multi-Vehicle Structure.", "Vehicle does not have a Multi-Vehicle Structure."))</f>
        <v>Has the vehicle a Multi-Vehicle Structure?</v>
      </c>
    </row>
    <row r="39" spans="1:12" ht="10.5" customHeight="1" x14ac:dyDescent="0.25">
      <c r="A39" s="69" t="s">
        <v>53</v>
      </c>
      <c r="B39" s="70" t="s">
        <v>54</v>
      </c>
      <c r="C39" s="71" t="s">
        <v>1376</v>
      </c>
      <c r="D39" s="559" t="s">
        <v>1486</v>
      </c>
      <c r="E39" s="346" t="s">
        <v>1215</v>
      </c>
      <c r="F39" s="376" t="str">
        <f>IF(AND(J39=0,D3="Financial Vehicle Corporation"),"N",IF(AND(K39=0,D3="Non-Securitisation SPE (SPV)"),"N","Y"))</f>
        <v>Y</v>
      </c>
      <c r="G39" s="98" t="s">
        <v>1345</v>
      </c>
      <c r="H39" s="99"/>
      <c r="I39" s="78">
        <f>IF(OR($D$39="Please Select",SUMPRODUCT(((ISNONTEXT(spe_originator!$E$2:$E$26)*1)=0)*1)=0),
0,SUMPRODUCT(((ISNONTEXT(spe_originator!$E$2:$E$26)*1)=0)*1))</f>
        <v>0</v>
      </c>
      <c r="J39" s="361">
        <f>IF(OR($D$39="",$D$39="Please Select",),0,
IF(AND($D$39="Multiple",$I$39&lt;1),0,IF(AND($D$39="Single",$I$39&lt;&gt;1),0,1)))</f>
        <v>0</v>
      </c>
      <c r="K39" s="361">
        <f>IF(AND($D$39="Multiple",$I$39&lt;1),0,IF(AND($D$39="Single",$I$39&lt;&gt;1),0,1))</f>
        <v>1</v>
      </c>
      <c r="L39" s="74" t="str">
        <f>IF($I$39=0,"Do the Assets have a Single Originator [1] or Multiple Originators [&gt;1]?",
IF($I$39=1,"The Assets have a Single Originator. See spe_originator Tab","The Assets have " &amp; $I$39 &amp; " Originators. See spe_originator Tab"))</f>
        <v>Do the Assets have a Single Originator [1] or Multiple Originators [&gt;1]?</v>
      </c>
    </row>
    <row r="40" spans="1:12" ht="10.5" customHeight="1" x14ac:dyDescent="0.25">
      <c r="A40" s="64"/>
      <c r="B40" s="65"/>
      <c r="C40" s="394"/>
      <c r="D40" s="392"/>
      <c r="E40" s="393"/>
      <c r="F40" s="376"/>
      <c r="G40" s="66"/>
      <c r="H40" s="67"/>
      <c r="I40" s="68"/>
      <c r="J40" s="363"/>
      <c r="K40" s="363"/>
      <c r="L40" s="392"/>
    </row>
    <row r="41" spans="1:12" ht="10.5" customHeight="1" x14ac:dyDescent="0.25">
      <c r="A41" s="69" t="s">
        <v>53</v>
      </c>
      <c r="B41" s="70" t="s">
        <v>54</v>
      </c>
      <c r="C41" s="71" t="s">
        <v>1235</v>
      </c>
      <c r="D41" s="344"/>
      <c r="E41" s="340" t="s">
        <v>1408</v>
      </c>
      <c r="F41" s="376" t="str">
        <f>IF(OR(J41=0,K41=0),"N","Y")</f>
        <v>Y</v>
      </c>
      <c r="G41" s="98" t="s">
        <v>1349</v>
      </c>
      <c r="H41" s="99"/>
      <c r="I41" s="102">
        <f>IFERROR(VALUE(D41),0)</f>
        <v>0</v>
      </c>
      <c r="J41" s="371">
        <v>1</v>
      </c>
      <c r="K41" s="371">
        <v>1</v>
      </c>
      <c r="L41" s="76" t="str">
        <f>IF($I$41=0,"Please supply estimate of Total Assets at first reporting.","Estimated Total Assets at first reporting equals EUR " &amp; TEXT($I$41,"#,##0") &amp; " million")</f>
        <v>Please supply estimate of Total Assets at first reporting.</v>
      </c>
    </row>
    <row r="42" spans="1:12" ht="10.5" customHeight="1" x14ac:dyDescent="0.25">
      <c r="A42" s="69" t="s">
        <v>53</v>
      </c>
      <c r="B42" s="70" t="s">
        <v>54</v>
      </c>
      <c r="C42" s="71" t="s">
        <v>1236</v>
      </c>
      <c r="D42" s="344"/>
      <c r="E42" s="340" t="s">
        <v>1408</v>
      </c>
      <c r="F42" s="376" t="str">
        <f>IF(OR(J42=0,K42=0),"N","Y")</f>
        <v>Y</v>
      </c>
      <c r="G42" s="98" t="s">
        <v>1348</v>
      </c>
      <c r="H42" s="99"/>
      <c r="I42" s="102">
        <f>IFERROR(VALUE(D42),0)</f>
        <v>0</v>
      </c>
      <c r="J42" s="371">
        <v>1</v>
      </c>
      <c r="K42" s="371">
        <v>1</v>
      </c>
      <c r="L42" s="76" t="str">
        <f>IF($I$42=0,"Please supply estimate of Maximum Issuance size of Total Assets.","Estimated Maximum Issuance Size equals EUR " &amp; TEXT($I$42,"#,##0") &amp; " million")</f>
        <v>Please supply estimate of Maximum Issuance size of Total Assets.</v>
      </c>
    </row>
    <row r="43" spans="1:12" ht="10.5" customHeight="1" x14ac:dyDescent="0.25">
      <c r="A43" s="64"/>
      <c r="B43" s="65"/>
      <c r="C43" s="394"/>
      <c r="D43" s="392"/>
      <c r="E43" s="393"/>
      <c r="F43" s="376"/>
      <c r="G43" s="66"/>
      <c r="H43" s="67"/>
      <c r="I43" s="68"/>
      <c r="J43" s="363"/>
      <c r="K43" s="363"/>
      <c r="L43" s="392"/>
    </row>
    <row r="44" spans="1:12" ht="10.5" customHeight="1" x14ac:dyDescent="0.25">
      <c r="A44" s="69" t="s">
        <v>53</v>
      </c>
      <c r="B44" s="70" t="s">
        <v>54</v>
      </c>
      <c r="C44" s="71" t="s">
        <v>1493</v>
      </c>
      <c r="D44" s="558" t="s">
        <v>1486</v>
      </c>
      <c r="E44" s="400" t="s">
        <v>1508</v>
      </c>
      <c r="F44" s="376" t="str">
        <f>IF(OR(J44=0,K44=0),"N","Y")</f>
        <v>N</v>
      </c>
      <c r="G44" s="98" t="s">
        <v>1354</v>
      </c>
      <c r="H44" s="99"/>
      <c r="I44" s="78" t="str">
        <f>IFERROR(IF($D44="Please Select","NULL",VLOOKUP($D44,lists!$C$1:$E$4,3,FALSE)),"NULL")</f>
        <v>NULL</v>
      </c>
      <c r="J44" s="361">
        <f>IF($I44="NULL",0,1)</f>
        <v>0</v>
      </c>
      <c r="K44" s="361">
        <f>IF($I44="NULL",0,1)</f>
        <v>0</v>
      </c>
      <c r="L44" s="100" t="str">
        <f>IF($D44="Please Select","Please confirm if the vehicle issues Debt Securities.",IF($D$44="Yes","The vehicle issues Debt Securities",IF(AND($D$44="No",$I$3="FVC"),"FVCs typically issue debt decurities. Are you sure this is an FVC?","The vehicle does not issue Debt Securities")))</f>
        <v>Please confirm if the vehicle issues Debt Securities.</v>
      </c>
    </row>
    <row r="45" spans="1:12" ht="10.5" customHeight="1" x14ac:dyDescent="0.25">
      <c r="A45" s="69" t="s">
        <v>53</v>
      </c>
      <c r="B45" s="70" t="s">
        <v>54</v>
      </c>
      <c r="C45" s="71" t="s">
        <v>1238</v>
      </c>
      <c r="D45" s="397" t="s">
        <v>1486</v>
      </c>
      <c r="E45" s="346" t="str">
        <f>IF($D$44&lt;&gt;"Yes","Ignore","Select Yes/No")</f>
        <v>Ignore</v>
      </c>
      <c r="F45" s="376" t="str">
        <f>IF(OR(J45=0,K45=0),"N","Y")</f>
        <v>N</v>
      </c>
      <c r="G45" s="98" t="s">
        <v>1355</v>
      </c>
      <c r="H45" s="99"/>
      <c r="I45" s="78" t="str">
        <f>IFERROR(IF(OR($D$44="No",$D$44="Please Select"),"NULL",VLOOKUP($D45,lists!$C$1:$E$4,3,FALSE)),"NULL")</f>
        <v>NULL</v>
      </c>
      <c r="J45" s="361">
        <f>IF($I$44=FALSE,1,IF($I$45="NULL",0,1))</f>
        <v>0</v>
      </c>
      <c r="K45" s="361">
        <f>IF($I$44=FALSE,1,IF($I$45="NULL",0,1))</f>
        <v>0</v>
      </c>
      <c r="L45" s="74" t="str">
        <f>IF(AND($I$44=TRUE,$I$45="NULL"),"Please select whether the Debt Securities are Listed [Yes] or Not Listed [No].",IF($I$45=TRUE,"The Debt Securities are Listed","No Debt Securities are Listed"))</f>
        <v>No Debt Securities are Listed</v>
      </c>
    </row>
    <row r="46" spans="1:12" ht="10.5" customHeight="1" x14ac:dyDescent="0.25">
      <c r="A46" s="69" t="s">
        <v>53</v>
      </c>
      <c r="B46" s="70" t="s">
        <v>54</v>
      </c>
      <c r="C46" s="71" t="s">
        <v>1242</v>
      </c>
      <c r="D46" s="395" t="s">
        <v>1486</v>
      </c>
      <c r="E46" s="346" t="str">
        <f>IF($D$45&lt;&gt;"Yes","Ignore","Select")</f>
        <v>Ignore</v>
      </c>
      <c r="F46" s="376" t="str">
        <f>IF(OR(J46=0,K46=0),"N","Y")</f>
        <v>Y</v>
      </c>
      <c r="G46" s="98" t="s">
        <v>1346</v>
      </c>
      <c r="H46" s="99"/>
      <c r="I46" s="78" t="str">
        <f>IF(AND($D$44="Yes",$D$45="Yes"),VLOOKUP($D$46,lists!$W$2:$X$13,2,FALSE),"XX")</f>
        <v>XX</v>
      </c>
      <c r="J46" s="361">
        <f>IF(AND($I$44=TRUE,$I$45=TRUE,$I$46="XX"),IF($D$46="Another Unspecified Country",1,0),1)</f>
        <v>1</v>
      </c>
      <c r="K46" s="361">
        <f>IF(AND($I$44=TRUE,$I$45=TRUE,$I$46="XX"),IF($D$46="Another Unspecified Country",1,0),1)</f>
        <v>1</v>
      </c>
      <c r="L46" s="74" t="str">
        <f>IF($I$45=TRUE,"The Debt Securities are primarily Listed in " &amp; $D$46,"")</f>
        <v/>
      </c>
    </row>
    <row r="47" spans="1:12" ht="10.5" customHeight="1" x14ac:dyDescent="0.25">
      <c r="A47" s="64"/>
      <c r="B47" s="65"/>
      <c r="C47" s="394"/>
      <c r="D47" s="392"/>
      <c r="E47" s="393"/>
      <c r="F47" s="376"/>
      <c r="G47" s="66"/>
      <c r="H47" s="67"/>
      <c r="I47" s="68"/>
      <c r="J47" s="363"/>
      <c r="K47" s="363"/>
      <c r="L47" s="392"/>
    </row>
    <row r="48" spans="1:12" ht="10.5" customHeight="1" x14ac:dyDescent="0.25">
      <c r="A48" s="84"/>
      <c r="B48" s="85"/>
      <c r="C48" s="60" t="s">
        <v>1532</v>
      </c>
      <c r="D48" s="86"/>
      <c r="E48" s="398"/>
      <c r="F48" s="375"/>
      <c r="G48" s="87"/>
      <c r="H48" s="88"/>
      <c r="I48" s="89"/>
      <c r="J48" s="365"/>
      <c r="K48" s="365"/>
      <c r="L48" s="396"/>
    </row>
    <row r="49" spans="1:12" ht="21" customHeight="1" x14ac:dyDescent="0.25">
      <c r="A49" s="64"/>
      <c r="B49" s="65"/>
      <c r="C49" s="457" t="s">
        <v>1528</v>
      </c>
      <c r="D49" s="392"/>
      <c r="E49" s="393"/>
      <c r="F49" s="376"/>
      <c r="G49" s="66"/>
      <c r="H49" s="67"/>
      <c r="I49" s="68"/>
      <c r="J49" s="363"/>
      <c r="K49" s="363"/>
      <c r="L49" s="392"/>
    </row>
    <row r="50" spans="1:12" ht="10.5" customHeight="1" x14ac:dyDescent="0.25">
      <c r="A50" s="64"/>
      <c r="B50" s="65"/>
      <c r="C50" s="71" t="s">
        <v>1533</v>
      </c>
      <c r="D50" s="558" t="s">
        <v>1486</v>
      </c>
      <c r="E50" s="346" t="s">
        <v>1215</v>
      </c>
      <c r="F50" s="376" t="str">
        <f>IF(OR(J50=0,K50=0),"N","Y")</f>
        <v>N</v>
      </c>
      <c r="G50" s="98" t="s">
        <v>1536</v>
      </c>
      <c r="H50" s="99"/>
      <c r="I50" s="78" t="str">
        <f>IFERROR(IF($D50="Please Select","NULL",VLOOKUP($D50,lists!$C$1:$E$4,3,FALSE)),"NULL")</f>
        <v>NULL</v>
      </c>
      <c r="J50" s="361">
        <f>IF($I50="NULL",0,1)</f>
        <v>0</v>
      </c>
      <c r="K50" s="361">
        <f>IF($I50="NULL",0,1)</f>
        <v>0</v>
      </c>
      <c r="L50" s="461" t="str">
        <f>IF(I50="NULL","Please answer Question 1",IF(I50=TRUE,"Please also answer Questions 2, 3, 4.1, 4.2",""))</f>
        <v>Please answer Question 1</v>
      </c>
    </row>
    <row r="51" spans="1:12" ht="21" customHeight="1" x14ac:dyDescent="0.25">
      <c r="A51" s="64"/>
      <c r="B51" s="65"/>
      <c r="C51" s="457" t="s">
        <v>1529</v>
      </c>
      <c r="D51" s="392"/>
      <c r="E51" s="393"/>
      <c r="F51" s="376"/>
      <c r="G51" s="66"/>
      <c r="H51" s="67"/>
      <c r="I51" s="68"/>
      <c r="J51" s="363"/>
      <c r="K51" s="363"/>
      <c r="L51" s="392"/>
    </row>
    <row r="52" spans="1:12" ht="10.5" customHeight="1" x14ac:dyDescent="0.25">
      <c r="A52" s="64"/>
      <c r="B52" s="65"/>
      <c r="C52" s="71" t="s">
        <v>1534</v>
      </c>
      <c r="D52" s="397" t="s">
        <v>1486</v>
      </c>
      <c r="E52" s="346" t="s">
        <v>1215</v>
      </c>
      <c r="F52" s="376" t="str">
        <f>IF(OR(J52=0,K52=0),"N","Y")</f>
        <v>Y</v>
      </c>
      <c r="G52" s="98" t="s">
        <v>1537</v>
      </c>
      <c r="H52" s="99"/>
      <c r="I52" s="78" t="str">
        <f>IF($I$50&lt;&gt;TRUE,"NULL",
IF($D$52="Please Select","NULL",VLOOKUP($D$52,lists!$C$2:$E$4,3,FALSE)))</f>
        <v>NULL</v>
      </c>
      <c r="J52" s="361">
        <f>IF(AND($I$50=TRUE,$I52&lt;&gt;"NULL"),1,IF($I$50&lt;&gt;TRUE,1,0))</f>
        <v>1</v>
      </c>
      <c r="K52" s="361">
        <f>IF(AND($I$50=TRUE,$I52&lt;&gt;"NULL"),1,IF($I$50&lt;&gt;TRUE,1,0))</f>
        <v>1</v>
      </c>
      <c r="L52" s="461" t="str">
        <f>IF(AND($I$50=TRUE,$I$52="NULL"),"Answer Question 2","")</f>
        <v/>
      </c>
    </row>
    <row r="53" spans="1:12" ht="21" customHeight="1" x14ac:dyDescent="0.25">
      <c r="A53" s="64"/>
      <c r="B53" s="65"/>
      <c r="C53" s="457" t="s">
        <v>1530</v>
      </c>
      <c r="D53" s="392"/>
      <c r="E53" s="393"/>
      <c r="F53" s="376"/>
      <c r="G53" s="66"/>
      <c r="H53" s="67"/>
      <c r="I53" s="68"/>
      <c r="J53" s="363"/>
      <c r="K53" s="363"/>
      <c r="L53" s="392"/>
    </row>
    <row r="54" spans="1:12" ht="10.5" customHeight="1" x14ac:dyDescent="0.25">
      <c r="A54" s="64"/>
      <c r="B54" s="65"/>
      <c r="C54" s="71" t="s">
        <v>1535</v>
      </c>
      <c r="D54" s="397" t="s">
        <v>1486</v>
      </c>
      <c r="E54" s="346" t="s">
        <v>1215</v>
      </c>
      <c r="F54" s="376" t="str">
        <f>IF(OR(J54=0,K54=0),"N","Y")</f>
        <v>Y</v>
      </c>
      <c r="G54" s="98" t="s">
        <v>1538</v>
      </c>
      <c r="H54" s="99"/>
      <c r="I54" s="78" t="str">
        <f>IF($I$50&lt;&gt;TRUE,"NULL",
IF($D$54="Please Select","NULL",VLOOKUP($D$54,lists!$C$2:$E$4,3,FALSE)))</f>
        <v>NULL</v>
      </c>
      <c r="J54" s="361">
        <f>IF(AND($I$50=TRUE,$I54&lt;&gt;"NULL"),1,IF($I$50&lt;&gt;TRUE,1,0))</f>
        <v>1</v>
      </c>
      <c r="K54" s="361">
        <f>IF(AND($I$50=TRUE,$I54&lt;&gt;"NULL"),1,IF($I$50&lt;&gt;TRUE,1,0))</f>
        <v>1</v>
      </c>
      <c r="L54" s="461" t="str">
        <f>IF(AND($I$50=TRUE,$I$54="NULL"),"Answer Question 3","")</f>
        <v/>
      </c>
    </row>
    <row r="55" spans="1:12" ht="21" customHeight="1" x14ac:dyDescent="0.25">
      <c r="A55" s="64"/>
      <c r="B55" s="65"/>
      <c r="C55" s="457" t="s">
        <v>1531</v>
      </c>
      <c r="D55" s="392"/>
      <c r="E55" s="393"/>
      <c r="F55" s="376"/>
      <c r="G55" s="66"/>
      <c r="H55" s="67"/>
      <c r="I55" s="68"/>
      <c r="J55" s="363"/>
      <c r="K55" s="363"/>
      <c r="L55" s="392"/>
    </row>
    <row r="56" spans="1:12" ht="31.5" customHeight="1" x14ac:dyDescent="0.25">
      <c r="A56" s="64"/>
      <c r="B56" s="65"/>
      <c r="C56" s="458" t="s">
        <v>1541</v>
      </c>
      <c r="D56" s="253"/>
      <c r="E56" s="341" t="s">
        <v>1241</v>
      </c>
      <c r="F56" s="376" t="str">
        <f>IF(OR(J56=0,K56=0),"N","Y")</f>
        <v>Y</v>
      </c>
      <c r="G56" s="98" t="s">
        <v>1539</v>
      </c>
      <c r="H56" s="99"/>
      <c r="I56" s="460" t="str">
        <f>IF($I$50&lt;&gt;TRUE,"NULL",
IF($D$56="","NULL",$D$56))</f>
        <v>NULL</v>
      </c>
      <c r="J56" s="361">
        <f>IF(AND($I$50=TRUE,$I56&lt;&gt;"NULL"),1,IF($I$50&lt;&gt;TRUE,1,0))</f>
        <v>1</v>
      </c>
      <c r="K56" s="361">
        <f>IF(AND($I$50=TRUE,$I56&lt;&gt;"NULL"),1,IF($I$50&lt;&gt;TRUE,1,0))</f>
        <v>1</v>
      </c>
      <c r="L56" s="461" t="str">
        <f>IF(AND($I$50=TRUE,$I$56="NULL"),"Answer Question 4.1","")</f>
        <v/>
      </c>
    </row>
    <row r="57" spans="1:12" ht="5.25" customHeight="1" x14ac:dyDescent="0.25">
      <c r="A57" s="64"/>
      <c r="B57" s="65"/>
      <c r="C57" s="394"/>
      <c r="D57" s="392"/>
      <c r="E57" s="393"/>
      <c r="F57" s="376"/>
      <c r="G57" s="66"/>
      <c r="H57" s="67"/>
      <c r="I57" s="68"/>
      <c r="J57" s="363"/>
      <c r="K57" s="363"/>
      <c r="L57" s="392"/>
    </row>
    <row r="58" spans="1:12" ht="31.5" customHeight="1" x14ac:dyDescent="0.25">
      <c r="A58" s="64"/>
      <c r="B58" s="65"/>
      <c r="C58" s="458" t="s">
        <v>1542</v>
      </c>
      <c r="D58" s="253"/>
      <c r="E58" s="341" t="s">
        <v>1241</v>
      </c>
      <c r="F58" s="376" t="str">
        <f>IF(OR(J58=0,K58=0),"N","Y")</f>
        <v>Y</v>
      </c>
      <c r="G58" s="98" t="s">
        <v>1540</v>
      </c>
      <c r="H58" s="99"/>
      <c r="I58" s="460" t="str">
        <f>IF($I$50&lt;&gt;TRUE,"NULL",
IF($D$58="","NULL",$D$58))</f>
        <v>NULL</v>
      </c>
      <c r="J58" s="361">
        <f>IF(AND($I$50=TRUE,$I58&lt;&gt;"NULL"),1,IF($I$50&lt;&gt;TRUE,1,0))</f>
        <v>1</v>
      </c>
      <c r="K58" s="361">
        <f>IF(AND($I$50=TRUE,$I58&lt;&gt;"NULL"),1,IF($I$50&lt;&gt;TRUE,1,0))</f>
        <v>1</v>
      </c>
      <c r="L58" s="461" t="str">
        <f>IF(AND($I$50=TRUE,$I$58="NULL"),"Answer Question 4.2","")</f>
        <v/>
      </c>
    </row>
    <row r="59" spans="1:12" ht="10.5" customHeight="1" x14ac:dyDescent="0.25">
      <c r="A59" s="80"/>
      <c r="B59" s="81"/>
      <c r="C59" s="75"/>
      <c r="D59" s="399"/>
      <c r="E59" s="393"/>
      <c r="F59" s="376"/>
      <c r="G59" s="103"/>
      <c r="H59" s="99"/>
      <c r="I59" s="83"/>
      <c r="J59" s="364"/>
      <c r="K59" s="364"/>
      <c r="L59" s="74"/>
    </row>
    <row r="60" spans="1:12" ht="10.5" customHeight="1" x14ac:dyDescent="0.25">
      <c r="A60" s="84"/>
      <c r="B60" s="85"/>
      <c r="C60" s="60" t="s">
        <v>1244</v>
      </c>
      <c r="D60" s="86"/>
      <c r="E60" s="398"/>
      <c r="F60" s="375"/>
      <c r="G60" s="87"/>
      <c r="H60" s="88"/>
      <c r="I60" s="89"/>
      <c r="J60" s="365"/>
      <c r="K60" s="365"/>
      <c r="L60" s="396"/>
    </row>
    <row r="61" spans="1:12" ht="10.5" customHeight="1" x14ac:dyDescent="0.25">
      <c r="A61" s="64"/>
      <c r="B61" s="65"/>
      <c r="C61" s="394"/>
      <c r="D61" s="392"/>
      <c r="E61" s="393"/>
      <c r="F61" s="376"/>
      <c r="G61" s="66"/>
      <c r="H61" s="67"/>
      <c r="I61" s="68"/>
      <c r="J61" s="363"/>
      <c r="K61" s="363"/>
      <c r="L61" s="392"/>
    </row>
    <row r="62" spans="1:12" ht="10.5" customHeight="1" x14ac:dyDescent="0.25">
      <c r="A62" s="69" t="s">
        <v>53</v>
      </c>
      <c r="B62" s="70" t="s">
        <v>54</v>
      </c>
      <c r="C62" s="71" t="s">
        <v>1243</v>
      </c>
      <c r="D62" s="58" t="str">
        <f>"You have listed " &amp; SUMPRODUCT(((ISNONTEXT(spe_sponsor!$E$2:$E$26)*1)=0)*1) &amp; " Sponsor(s) in spe_sponsor Tab"</f>
        <v>You have listed 0 Sponsor(s) in spe_sponsor Tab</v>
      </c>
      <c r="E62" s="77" t="s">
        <v>1384</v>
      </c>
      <c r="F62" s="376" t="str">
        <f>IF(OR(J62=0,K62=0),"N","Y")</f>
        <v>N</v>
      </c>
      <c r="G62" s="98" t="s">
        <v>1356</v>
      </c>
      <c r="H62" s="99"/>
      <c r="I62" s="78">
        <f>IF(SUMPRODUCT(((ISNONTEXT(spe_sponsor!$E$2:$E$26)*1)=0)*1)=0,0,IF(LEN(spe_sponsor!$G$2)=0,0,IF(LEN(spe_sponsor!$H$2)=0,0,1)))</f>
        <v>0</v>
      </c>
      <c r="J62" s="372">
        <f>IF($I$62&gt;0,1,0)</f>
        <v>0</v>
      </c>
      <c r="K62" s="372">
        <f>IF($I$62&gt;0,1,0)</f>
        <v>0</v>
      </c>
      <c r="L62" s="104" t="s">
        <v>1260</v>
      </c>
    </row>
    <row r="63" spans="1:12" ht="10.5" customHeight="1" x14ac:dyDescent="0.25">
      <c r="A63" s="64"/>
      <c r="B63" s="65"/>
      <c r="C63" s="394"/>
      <c r="D63" s="392"/>
      <c r="E63" s="393"/>
      <c r="F63" s="376"/>
      <c r="G63" s="66"/>
      <c r="H63" s="67"/>
      <c r="I63" s="68"/>
      <c r="J63" s="363"/>
      <c r="K63" s="363"/>
      <c r="L63" s="392"/>
    </row>
    <row r="64" spans="1:12" ht="10.5" customHeight="1" x14ac:dyDescent="0.25">
      <c r="A64" s="69" t="s">
        <v>53</v>
      </c>
      <c r="B64" s="70" t="s">
        <v>54</v>
      </c>
      <c r="C64" s="71" t="s">
        <v>1245</v>
      </c>
      <c r="D64" s="58" t="str">
        <f>"You have listed " &amp; SUMPRODUCT(((ISNONTEXT(spe_originator!$E$2:$E$26)*1)=0)*1) &amp; " Originator(s) in the spe_originator Tab"</f>
        <v>You have listed 0 Originator(s) in the spe_originator Tab</v>
      </c>
      <c r="E64" s="77" t="s">
        <v>1385</v>
      </c>
      <c r="F64" s="376" t="str">
        <f>IF(OR(J64=0,K64=0),"N","Y")</f>
        <v>N</v>
      </c>
      <c r="G64" s="98" t="s">
        <v>1357</v>
      </c>
      <c r="H64" s="99"/>
      <c r="I64" s="78">
        <f>SUMPRODUCT(((ISNONTEXT(spe_originator!$E$2:$E$26)*1)=0)*1)</f>
        <v>0</v>
      </c>
      <c r="J64" s="372">
        <f>IFERROR(IF($I$3="SPV",1,
IF(AND($I$3="FVC",VLOOKUP($I$31,lists!$I$2:$M$32,4,FALSE)=TRUE,$I$64=0),0,1)
),0)</f>
        <v>0</v>
      </c>
      <c r="K64" s="372">
        <f>IFERROR(IF($I$3="SPV",1,
IF(AND($I$3="FVC",VLOOKUP($I$31,lists!$I$2:$M$32,4,FALSE)=TRUE,$I$64=0),0,1)
),0)</f>
        <v>0</v>
      </c>
      <c r="L64" s="104" t="s">
        <v>1505</v>
      </c>
    </row>
    <row r="65" spans="1:12" ht="10.5" customHeight="1" x14ac:dyDescent="0.25">
      <c r="A65" s="80"/>
      <c r="B65" s="81"/>
      <c r="C65" s="75"/>
      <c r="D65" s="105"/>
      <c r="E65" s="106"/>
      <c r="F65" s="376"/>
      <c r="G65" s="103"/>
      <c r="H65" s="99"/>
      <c r="I65" s="83"/>
      <c r="J65" s="364"/>
      <c r="K65" s="364"/>
      <c r="L65" s="104"/>
    </row>
    <row r="66" spans="1:12" ht="10.5" customHeight="1" x14ac:dyDescent="0.25">
      <c r="A66" s="69" t="s">
        <v>53</v>
      </c>
      <c r="B66" s="70" t="s">
        <v>54</v>
      </c>
      <c r="C66" s="71" t="s">
        <v>1270</v>
      </c>
      <c r="D66" s="397" t="s">
        <v>1486</v>
      </c>
      <c r="E66" s="400" t="s">
        <v>1508</v>
      </c>
      <c r="F66" s="376" t="str">
        <f>IF(OR(J66=0,K66=0),"N","Y")</f>
        <v>N</v>
      </c>
      <c r="G66" s="98" t="s">
        <v>1358</v>
      </c>
      <c r="H66" s="99"/>
      <c r="I66" s="78" t="str">
        <f>IFERROR(IF($D66="Please Select","NULL",VLOOKUP($D66,lists!$C$1:$E$4,3,FALSE)),"NULL")</f>
        <v>NULL</v>
      </c>
      <c r="J66" s="361">
        <f>IF($I66="NULL",0,1)</f>
        <v>0</v>
      </c>
      <c r="K66" s="361">
        <f>IF($I66="NULL",0,1)</f>
        <v>0</v>
      </c>
      <c r="L66" s="74" t="str">
        <f>IF($D$66="Please Select","Please select whether this is a Consolidated entity.",IF(D$66="Yes","This is a Consolidated entity","This is not a Consolidated entity"))</f>
        <v>Please select whether this is a Consolidated entity.</v>
      </c>
    </row>
    <row r="67" spans="1:12" ht="10.5" customHeight="1" x14ac:dyDescent="0.25">
      <c r="A67" s="69" t="s">
        <v>53</v>
      </c>
      <c r="B67" s="70" t="s">
        <v>54</v>
      </c>
      <c r="C67" s="71" t="s">
        <v>1527</v>
      </c>
      <c r="D67" s="395" t="s">
        <v>1486</v>
      </c>
      <c r="E67" s="346" t="str">
        <f>IF($D$45&lt;&gt;"Yes","Ignore","Select")</f>
        <v>Ignore</v>
      </c>
      <c r="F67" s="376" t="str">
        <f>IF(OR(J67=0,K67=0),"N","Y")</f>
        <v>N</v>
      </c>
      <c r="G67" s="72" t="s">
        <v>1332</v>
      </c>
      <c r="H67" s="99"/>
      <c r="I67" s="78" t="str">
        <f>IF($D$67="Please Select","NULL",$D$67)</f>
        <v>NULL</v>
      </c>
      <c r="J67" s="361">
        <f>IF($I$67="NULL",0,1)</f>
        <v>0</v>
      </c>
      <c r="K67" s="361">
        <f>IF($I$67="NULL",0,1)</f>
        <v>0</v>
      </c>
      <c r="L67" s="74" t="str">
        <f>IF($D$67="Please Select",
"Please select Accountancy Standard as applicable.",
"The Accountancy Standard is "&amp; $I$67)</f>
        <v>Please select Accountancy Standard as applicable.</v>
      </c>
    </row>
    <row r="68" spans="1:12" ht="10.5" customHeight="1" x14ac:dyDescent="0.25">
      <c r="A68" s="69" t="s">
        <v>53</v>
      </c>
      <c r="B68" s="70" t="s">
        <v>54</v>
      </c>
      <c r="C68" s="71" t="s">
        <v>1210</v>
      </c>
      <c r="D68" s="58" t="str">
        <f>IF($I$66=TRUE,"You have listed " &amp; SUMPRODUCT(((ISNONTEXT(spe_consolidator!$E$2:$E$6)*1)=0)*1) &amp; " Consolidator in the spe_consolidator Tab","")</f>
        <v/>
      </c>
      <c r="E68" s="77" t="s">
        <v>1386</v>
      </c>
      <c r="F68" s="376" t="str">
        <f>IF(OR(J68=0,K68=0),"N","Y")</f>
        <v>Y</v>
      </c>
      <c r="G68" s="98" t="s">
        <v>1359</v>
      </c>
      <c r="H68" s="99"/>
      <c r="I68" s="78">
        <f>IF($D$66&lt;&gt;"Yes",0,SUMPRODUCT(((ISNONTEXT(spe_consolidator!$E$2:$E$6)*1)=0)*1))</f>
        <v>0</v>
      </c>
      <c r="J68" s="361">
        <f>IF($I$66&lt;&gt;TRUE,1,IF(AND($I$66=TRUE,$I$68&gt;0),1,0))</f>
        <v>1</v>
      </c>
      <c r="K68" s="361">
        <f>IF($I$66&lt;&gt;TRUE,1,IF(AND($I$66=TRUE,$I$68&gt;0),1,0))</f>
        <v>1</v>
      </c>
      <c r="L68" s="104" t="str">
        <f>IF($D$66="Yes","Please list Consolidator on spe_consolidator Tab","")</f>
        <v/>
      </c>
    </row>
    <row r="69" spans="1:12" ht="10.5" customHeight="1" x14ac:dyDescent="0.25">
      <c r="A69" s="64"/>
      <c r="B69" s="65"/>
      <c r="C69" s="394"/>
      <c r="D69" s="392"/>
      <c r="E69" s="393"/>
      <c r="F69" s="376"/>
      <c r="G69" s="66"/>
      <c r="H69" s="67"/>
      <c r="I69" s="68"/>
      <c r="J69" s="363"/>
      <c r="K69" s="363"/>
      <c r="L69" s="392"/>
    </row>
    <row r="70" spans="1:12" ht="10.5" customHeight="1" x14ac:dyDescent="0.25">
      <c r="A70" s="69" t="s">
        <v>53</v>
      </c>
      <c r="B70" s="70" t="s">
        <v>54</v>
      </c>
      <c r="C70" s="71" t="s">
        <v>1247</v>
      </c>
      <c r="D70" s="397" t="s">
        <v>1486</v>
      </c>
      <c r="E70" s="400" t="s">
        <v>1508</v>
      </c>
      <c r="F70" s="376" t="str">
        <f>IF(OR(J70=0,K70=0),"N","Y")</f>
        <v>N</v>
      </c>
      <c r="G70" s="98" t="s">
        <v>1368</v>
      </c>
      <c r="H70" s="99"/>
      <c r="I70" s="78" t="str">
        <f>IFERROR(IF($D70="Please Select","NULL",VLOOKUP($D70,lists!$C$1:$E$4,3,FALSE)),"NULL")</f>
        <v>NULL</v>
      </c>
      <c r="J70" s="361">
        <f>IF($I70="NULL",0,1)</f>
        <v>0</v>
      </c>
      <c r="K70" s="361">
        <f>IF($I70="NULL",0,1)</f>
        <v>0</v>
      </c>
      <c r="L70" s="100" t="str">
        <f>IF($D$70="Please Select","Please confirm if the vehicle has Non-Consolidated Interest parties.",IF($D$70="Yes","The vehicle has Non-Consolidated parties","The vehicle does not have Non-Consolidated parties"))</f>
        <v>Please confirm if the vehicle has Non-Consolidated Interest parties.</v>
      </c>
    </row>
    <row r="71" spans="1:12" ht="10.5" customHeight="1" x14ac:dyDescent="0.25">
      <c r="A71" s="69" t="s">
        <v>53</v>
      </c>
      <c r="B71" s="70" t="s">
        <v>54</v>
      </c>
      <c r="C71" s="71" t="s">
        <v>1246</v>
      </c>
      <c r="D71" s="58" t="str">
        <f>IF($I$70=TRUE,"You have listed " &amp; SUMPRODUCT(((ISNONTEXT(spe_nci!$E$2:$E$26)*1)=0)*1) &amp; " NCI parties in the spe_nci Tab","")</f>
        <v/>
      </c>
      <c r="E71" s="77" t="s">
        <v>1387</v>
      </c>
      <c r="F71" s="376" t="str">
        <f>IF(OR(J71=0,K71=0),"N","Y")</f>
        <v>N</v>
      </c>
      <c r="G71" s="98" t="s">
        <v>1369</v>
      </c>
      <c r="H71" s="99"/>
      <c r="I71" s="78">
        <f>IF($I$70&lt;&gt;TRUE,0,SUMPRODUCT(((ISNONTEXT(spe_nci!$E$2:$E$26)*1)=0)*1))</f>
        <v>0</v>
      </c>
      <c r="J71" s="361">
        <f>IF($I$70=FALSE,1,IF(AND($I$70=TRUE,$I$71&gt;0),1,0))</f>
        <v>0</v>
      </c>
      <c r="K71" s="361">
        <f>IF($I$70=FALSE,1,IF(AND($I$70=TRUE,$I$71&gt;0),1,0))</f>
        <v>0</v>
      </c>
      <c r="L71" s="104" t="str">
        <f>IF($I$70=TRUE,"Please list any Non-Consolidated Interest parties on spe_nci Tab","")</f>
        <v/>
      </c>
    </row>
    <row r="72" spans="1:12" ht="10.5" customHeight="1" x14ac:dyDescent="0.25">
      <c r="A72" s="64"/>
      <c r="B72" s="65"/>
      <c r="C72" s="394"/>
      <c r="D72" s="392"/>
      <c r="E72" s="393"/>
      <c r="F72" s="376"/>
      <c r="G72" s="66"/>
      <c r="H72" s="67"/>
      <c r="I72" s="68"/>
      <c r="J72" s="363"/>
      <c r="K72" s="363"/>
      <c r="L72" s="392"/>
    </row>
    <row r="73" spans="1:12" ht="10.5" customHeight="1" x14ac:dyDescent="0.25">
      <c r="A73" s="69" t="s">
        <v>53</v>
      </c>
      <c r="B73" s="70" t="s">
        <v>54</v>
      </c>
      <c r="C73" s="71" t="s">
        <v>1249</v>
      </c>
      <c r="D73" s="58" t="str">
        <f>"You have listed "&amp;SUMPRODUCT(((ISNONTEXT(#REF!)*1)=0)*1)&amp;" Guarantor(s) in the spe_guarantor Tab"</f>
        <v>You have listed 0 Guarantor(s) in the spe_guarantor Tab</v>
      </c>
      <c r="E73" s="77" t="s">
        <v>1388</v>
      </c>
      <c r="F73" s="376" t="str">
        <f>IF(OR(J73=0,K73=0),"N","Y")</f>
        <v>Y</v>
      </c>
      <c r="G73" s="98" t="s">
        <v>1370</v>
      </c>
      <c r="H73" s="99"/>
      <c r="I73" s="78">
        <f>SUMPRODUCT(((ISNONTEXT(#REF!)*1)=0)*1)</f>
        <v>0</v>
      </c>
      <c r="J73" s="371">
        <v>1</v>
      </c>
      <c r="K73" s="371">
        <v>1</v>
      </c>
      <c r="L73" s="104" t="s">
        <v>1248</v>
      </c>
    </row>
    <row r="74" spans="1:12" ht="10.5" customHeight="1" x14ac:dyDescent="0.25">
      <c r="A74" s="64"/>
      <c r="B74" s="65"/>
      <c r="C74" s="394"/>
      <c r="D74" s="392"/>
      <c r="E74" s="393"/>
      <c r="F74" s="376"/>
      <c r="G74" s="103"/>
      <c r="H74" s="67"/>
      <c r="I74" s="68"/>
      <c r="J74" s="363"/>
      <c r="K74" s="363"/>
      <c r="L74" s="392"/>
    </row>
    <row r="75" spans="1:12" ht="10.5" hidden="1" customHeight="1" x14ac:dyDescent="0.25">
      <c r="A75" s="69" t="s">
        <v>53</v>
      </c>
      <c r="B75" s="70" t="s">
        <v>54</v>
      </c>
      <c r="C75" s="71" t="s">
        <v>1460</v>
      </c>
      <c r="D75" s="58"/>
      <c r="E75" s="401" t="str">
        <f>IF($D$45&lt;&gt;"Yes","Ignore","Select")</f>
        <v>Ignore</v>
      </c>
      <c r="F75" s="376" t="str">
        <f>IF(OR(J75=0,K75=0),"N","Y")</f>
        <v>Y</v>
      </c>
      <c r="G75" s="98"/>
      <c r="H75" s="99"/>
      <c r="I75" s="78" t="s">
        <v>901</v>
      </c>
      <c r="J75" s="371">
        <v>1</v>
      </c>
      <c r="K75" s="371">
        <v>1</v>
      </c>
      <c r="L75" s="104"/>
    </row>
    <row r="76" spans="1:12" ht="10.5" hidden="1" customHeight="1" x14ac:dyDescent="0.25">
      <c r="A76" s="64"/>
      <c r="B76" s="65"/>
      <c r="C76" s="394"/>
      <c r="D76" s="392"/>
      <c r="E76" s="393"/>
      <c r="F76" s="376"/>
      <c r="G76" s="66"/>
      <c r="H76" s="67"/>
      <c r="I76" s="68"/>
      <c r="J76" s="363"/>
      <c r="K76" s="363"/>
      <c r="L76" s="392"/>
    </row>
    <row r="77" spans="1:12" ht="10.5" customHeight="1" x14ac:dyDescent="0.25">
      <c r="A77" s="85"/>
      <c r="B77" s="60"/>
      <c r="C77" s="60" t="s">
        <v>1199</v>
      </c>
      <c r="D77" s="398"/>
      <c r="E77" s="88"/>
      <c r="F77" s="375"/>
      <c r="G77" s="107"/>
      <c r="H77" s="108"/>
      <c r="I77" s="109"/>
      <c r="J77" s="370"/>
      <c r="K77" s="370"/>
      <c r="L77" s="396"/>
    </row>
    <row r="78" spans="1:12" ht="10.5" customHeight="1" x14ac:dyDescent="0.25">
      <c r="A78" s="64"/>
      <c r="B78" s="65"/>
      <c r="C78" s="394"/>
      <c r="D78" s="392"/>
      <c r="E78" s="393"/>
      <c r="F78" s="376"/>
      <c r="G78" s="66"/>
      <c r="H78" s="67"/>
      <c r="I78" s="68"/>
      <c r="J78" s="363"/>
      <c r="K78" s="363"/>
      <c r="L78" s="392"/>
    </row>
    <row r="79" spans="1:12" ht="10.5" customHeight="1" x14ac:dyDescent="0.25">
      <c r="A79" s="69" t="s">
        <v>53</v>
      </c>
      <c r="B79" s="70" t="s">
        <v>54</v>
      </c>
      <c r="C79" s="71" t="s">
        <v>1250</v>
      </c>
      <c r="D79" s="122"/>
      <c r="E79" s="341" t="s">
        <v>1241</v>
      </c>
      <c r="F79" s="376" t="str">
        <f>IF(OR(J79=0,K79=0),"N","Y")</f>
        <v>N</v>
      </c>
      <c r="G79" s="72" t="s">
        <v>1287</v>
      </c>
      <c r="H79" s="67"/>
      <c r="I79" s="328" t="str">
        <f>IF(ISBLANK($D$79),"NULL",LEFT($D$79,255))</f>
        <v>NULL</v>
      </c>
      <c r="J79" s="361">
        <f>IF($I79="NULL",0,1)</f>
        <v>0</v>
      </c>
      <c r="K79" s="361">
        <f>IF($I79="NULL",0,1)</f>
        <v>0</v>
      </c>
      <c r="L79" s="561" t="s">
        <v>1467</v>
      </c>
    </row>
    <row r="80" spans="1:12" ht="10.5" customHeight="1" x14ac:dyDescent="0.25">
      <c r="A80" s="69" t="s">
        <v>53</v>
      </c>
      <c r="B80" s="70" t="s">
        <v>54</v>
      </c>
      <c r="C80" s="71" t="s">
        <v>1251</v>
      </c>
      <c r="D80" s="125"/>
      <c r="E80" s="341" t="s">
        <v>1241</v>
      </c>
      <c r="F80" s="376" t="str">
        <f>IF(OR(J80=0,K80=0),"N","Y")</f>
        <v>N</v>
      </c>
      <c r="G80" s="72" t="s">
        <v>1288</v>
      </c>
      <c r="H80" s="67"/>
      <c r="I80" s="552">
        <f>IF(LEFT($D$80,1)="C",VALUE(MID($D$80,2,7)),VALUE($D$80))</f>
        <v>0</v>
      </c>
      <c r="J80" s="361">
        <f>IF($I80=0,0,1)</f>
        <v>0</v>
      </c>
      <c r="K80" s="361">
        <f>IF($I80=0,0,1)</f>
        <v>0</v>
      </c>
      <c r="L80" s="561"/>
    </row>
    <row r="81" spans="1:12" ht="10.5" customHeight="1" x14ac:dyDescent="0.25">
      <c r="A81" s="69" t="s">
        <v>53</v>
      </c>
      <c r="B81" s="70" t="s">
        <v>54</v>
      </c>
      <c r="C81" s="71" t="s">
        <v>1202</v>
      </c>
      <c r="D81" s="559" t="s">
        <v>1573</v>
      </c>
      <c r="E81" s="346" t="s">
        <v>1215</v>
      </c>
      <c r="F81" s="376" t="str">
        <f>IF(OR(J81=0,K81=0),"N","Y")</f>
        <v>Y</v>
      </c>
      <c r="G81" s="72" t="s">
        <v>1285</v>
      </c>
      <c r="H81" s="67"/>
      <c r="I81" s="78" t="str">
        <f>IF($D$81="",dates!$E$31,$D$81)</f>
        <v>2022Q2</v>
      </c>
      <c r="J81" s="361">
        <f>IF($D$81="",0,1)</f>
        <v>1</v>
      </c>
      <c r="K81" s="361">
        <f>IF($D$81="",0,1)</f>
        <v>1</v>
      </c>
      <c r="L81" s="74" t="str">
        <f>IF($D81="2999Q4","Please select the first Reporting Quarter for this Vehicle","")</f>
        <v/>
      </c>
    </row>
    <row r="82" spans="1:12" ht="10.5" customHeight="1" x14ac:dyDescent="0.25">
      <c r="A82" s="69" t="s">
        <v>53</v>
      </c>
      <c r="B82" s="70" t="s">
        <v>54</v>
      </c>
      <c r="C82" s="110" t="s">
        <v>1203</v>
      </c>
      <c r="D82" s="553" t="s">
        <v>6</v>
      </c>
      <c r="E82" s="111" t="s">
        <v>1215</v>
      </c>
      <c r="F82" s="376" t="str">
        <f>IF(OR(J82=0,K82=0),"N","Y")</f>
        <v>Y</v>
      </c>
      <c r="G82" s="72" t="s">
        <v>1286</v>
      </c>
      <c r="H82" s="67"/>
      <c r="I82" s="112" t="str">
        <f>D82</f>
        <v>2999Q4</v>
      </c>
      <c r="J82" s="371">
        <v>1</v>
      </c>
      <c r="K82" s="371">
        <v>1</v>
      </c>
      <c r="L82" s="113" t="s">
        <v>1371</v>
      </c>
    </row>
    <row r="83" spans="1:12" ht="10.5" customHeight="1" x14ac:dyDescent="0.25">
      <c r="A83" s="64"/>
      <c r="B83" s="65"/>
      <c r="C83" s="394"/>
      <c r="D83" s="392"/>
      <c r="E83" s="393"/>
      <c r="F83" s="376"/>
      <c r="G83" s="66"/>
      <c r="H83" s="67"/>
      <c r="I83" s="68"/>
      <c r="J83" s="363"/>
      <c r="K83" s="363"/>
      <c r="L83" s="392"/>
    </row>
    <row r="84" spans="1:12" ht="10.5" customHeight="1" x14ac:dyDescent="0.25">
      <c r="A84" s="69" t="s">
        <v>53</v>
      </c>
      <c r="B84" s="70" t="s">
        <v>54</v>
      </c>
      <c r="C84" s="71" t="s">
        <v>1252</v>
      </c>
      <c r="D84" s="122"/>
      <c r="E84" s="341" t="s">
        <v>1241</v>
      </c>
      <c r="F84" s="376" t="str">
        <f>IF(OR(J84=0,K84=0),"N","Y")</f>
        <v>N</v>
      </c>
      <c r="G84" s="72" t="s">
        <v>1289</v>
      </c>
      <c r="H84" s="67"/>
      <c r="I84" s="78" t="str">
        <f>IF(ISBLANK($D$84),"NULL",LEFT($D$84,255))</f>
        <v>NULL</v>
      </c>
      <c r="J84" s="361">
        <f>IF($I84="NULL",0,1)</f>
        <v>0</v>
      </c>
      <c r="K84" s="361">
        <f>IF($I84="NULL",0,1)</f>
        <v>0</v>
      </c>
      <c r="L84" s="76" t="s">
        <v>1466</v>
      </c>
    </row>
    <row r="85" spans="1:12" ht="10.5" customHeight="1" x14ac:dyDescent="0.25">
      <c r="A85" s="69" t="s">
        <v>53</v>
      </c>
      <c r="B85" s="70" t="s">
        <v>54</v>
      </c>
      <c r="C85" s="71" t="s">
        <v>1253</v>
      </c>
      <c r="D85" s="125"/>
      <c r="E85" s="341" t="s">
        <v>1241</v>
      </c>
      <c r="F85" s="376" t="str">
        <f>IF(OR(J85=0,K85=0),"N","Y")</f>
        <v>N</v>
      </c>
      <c r="G85" s="72" t="s">
        <v>1288</v>
      </c>
      <c r="H85" s="67"/>
      <c r="I85" s="552">
        <f>IF(LEFT($D$85,1)="C",VALUE(MID($D$85,2,7)),VALUE($D$85))</f>
        <v>0</v>
      </c>
      <c r="J85" s="361">
        <f>IF($I85=0,0,1)</f>
        <v>0</v>
      </c>
      <c r="K85" s="361">
        <f>IF($I85=0,0,1)</f>
        <v>0</v>
      </c>
      <c r="L85" s="76" t="str">
        <f>IF(ISBLANK($D85),"Please supply the Central Bank C-Code of the Corporate Service Provider for this Vehicle (if available).","")</f>
        <v>Please supply the Central Bank C-Code of the Corporate Service Provider for this Vehicle (if available).</v>
      </c>
    </row>
    <row r="86" spans="1:12" ht="10.5" customHeight="1" x14ac:dyDescent="0.25">
      <c r="A86" s="69" t="s">
        <v>53</v>
      </c>
      <c r="B86" s="70" t="s">
        <v>54</v>
      </c>
      <c r="C86" s="71" t="s">
        <v>1202</v>
      </c>
      <c r="D86" s="559" t="s">
        <v>1573</v>
      </c>
      <c r="E86" s="346" t="s">
        <v>1215</v>
      </c>
      <c r="F86" s="376" t="str">
        <f>IF(OR(J86=0,K86=0),"N","Y")</f>
        <v>Y</v>
      </c>
      <c r="G86" s="72" t="s">
        <v>1285</v>
      </c>
      <c r="H86" s="67"/>
      <c r="I86" s="78" t="str">
        <f>IF($D$86="",dates!$E$31,$D$86)</f>
        <v>2022Q2</v>
      </c>
      <c r="J86" s="361">
        <f>IF($D$86="",0,1)</f>
        <v>1</v>
      </c>
      <c r="K86" s="361">
        <f>IF($D$86="",0,1)</f>
        <v>1</v>
      </c>
      <c r="L86" s="74" t="str">
        <f>IF($D86="2999Q4","Please select the first Reporting Quarter for this Vehicle","")</f>
        <v/>
      </c>
    </row>
    <row r="87" spans="1:12" ht="10.5" customHeight="1" x14ac:dyDescent="0.25">
      <c r="A87" s="69" t="s">
        <v>53</v>
      </c>
      <c r="B87" s="70" t="s">
        <v>54</v>
      </c>
      <c r="C87" s="110" t="s">
        <v>1203</v>
      </c>
      <c r="D87" s="553" t="s">
        <v>6</v>
      </c>
      <c r="E87" s="111" t="s">
        <v>1215</v>
      </c>
      <c r="F87" s="376" t="str">
        <f>IF(OR(J87=0,K87=0),"N","Y")</f>
        <v>Y</v>
      </c>
      <c r="G87" s="72" t="s">
        <v>1286</v>
      </c>
      <c r="H87" s="67"/>
      <c r="I87" s="112" t="str">
        <f>D87</f>
        <v>2999Q4</v>
      </c>
      <c r="J87" s="371">
        <v>1</v>
      </c>
      <c r="K87" s="371">
        <v>1</v>
      </c>
      <c r="L87" s="113" t="s">
        <v>1372</v>
      </c>
    </row>
    <row r="88" spans="1:12" ht="10.5" customHeight="1" x14ac:dyDescent="0.25">
      <c r="A88" s="80"/>
      <c r="B88" s="81"/>
      <c r="C88" s="114"/>
      <c r="D88" s="37"/>
      <c r="E88" s="113"/>
      <c r="F88" s="376"/>
      <c r="G88" s="115"/>
      <c r="H88" s="67"/>
      <c r="I88" s="116"/>
      <c r="J88" s="364"/>
      <c r="K88" s="364"/>
      <c r="L88" s="76"/>
    </row>
    <row r="89" spans="1:12" ht="10.5" customHeight="1" x14ac:dyDescent="0.25">
      <c r="A89" s="69" t="s">
        <v>53</v>
      </c>
      <c r="B89" s="70" t="s">
        <v>54</v>
      </c>
      <c r="C89" s="110" t="s">
        <v>1374</v>
      </c>
      <c r="D89" s="38" t="b">
        <f>OR(D79=D84,D80=D85)</f>
        <v>1</v>
      </c>
      <c r="E89" s="111" t="s">
        <v>1307</v>
      </c>
      <c r="F89" s="376" t="str">
        <f>IF(OR(J89=0,K89=0),"N","Y")</f>
        <v>Y</v>
      </c>
      <c r="G89" s="98" t="s">
        <v>1347</v>
      </c>
      <c r="H89" s="67"/>
      <c r="I89" s="112" t="b">
        <f>D89</f>
        <v>1</v>
      </c>
      <c r="J89" s="371">
        <v>1</v>
      </c>
      <c r="K89" s="371">
        <v>1</v>
      </c>
      <c r="L89" s="104" t="str">
        <f>IF($I89=TRUE,"Reporting Agent is the same as the Corporate Services Provider","Reporting Agent is different from the Corporate Service Provider")</f>
        <v>Reporting Agent is the same as the Corporate Services Provider</v>
      </c>
    </row>
    <row r="90" spans="1:12" ht="10.5" customHeight="1" x14ac:dyDescent="0.25">
      <c r="A90" s="64"/>
      <c r="B90" s="65"/>
      <c r="C90" s="394"/>
      <c r="D90" s="392"/>
      <c r="E90" s="393"/>
      <c r="F90" s="376"/>
      <c r="G90" s="66"/>
      <c r="H90" s="67"/>
      <c r="I90" s="68"/>
      <c r="J90" s="363"/>
      <c r="K90" s="363"/>
      <c r="L90" s="392"/>
    </row>
    <row r="91" spans="1:12" ht="10.5" customHeight="1" x14ac:dyDescent="0.25">
      <c r="A91" s="85"/>
      <c r="B91" s="60"/>
      <c r="C91" s="60" t="s">
        <v>1254</v>
      </c>
      <c r="D91" s="398"/>
      <c r="E91" s="88"/>
      <c r="F91" s="375"/>
      <c r="G91" s="107"/>
      <c r="H91" s="108"/>
      <c r="I91" s="109"/>
      <c r="J91" s="366"/>
      <c r="K91" s="366"/>
      <c r="L91" s="396"/>
    </row>
    <row r="92" spans="1:12" ht="10.5" customHeight="1" x14ac:dyDescent="0.25">
      <c r="A92" s="64"/>
      <c r="B92" s="65"/>
      <c r="C92" s="394"/>
      <c r="D92" s="392"/>
      <c r="E92" s="393"/>
      <c r="F92" s="376"/>
      <c r="G92" s="66"/>
      <c r="H92" s="67"/>
      <c r="I92" s="127"/>
      <c r="J92" s="367"/>
      <c r="K92" s="367"/>
      <c r="L92" s="392"/>
    </row>
    <row r="93" spans="1:12" ht="10.5" customHeight="1" x14ac:dyDescent="0.25">
      <c r="A93" s="69" t="s">
        <v>53</v>
      </c>
      <c r="B93" s="70" t="s">
        <v>54</v>
      </c>
      <c r="C93" s="71" t="s">
        <v>1269</v>
      </c>
      <c r="D93" s="345"/>
      <c r="E93" s="340" t="s">
        <v>1496</v>
      </c>
      <c r="F93" s="376" t="str">
        <f>IF(OR(J93=0,K93=0),"N","Y")</f>
        <v>Y</v>
      </c>
      <c r="G93" s="98" t="s">
        <v>1360</v>
      </c>
      <c r="H93" s="67"/>
      <c r="I93" s="117" t="str">
        <f ca="1">IF(ISBLANK($D$93),
TEXT(NOW(),"dd/mm/yyyy"),
IF(ISERROR(TIMEVALUE($D$93)*1),IFERROR(TEXT($D$93*1,"dd/mm/yyyy"),TEXT(NOW(),"dd/mm/yyyy")),
TEXT($D$93,"dd/mm/yyyy")))</f>
        <v>16/08/2022</v>
      </c>
      <c r="J93" s="371">
        <v>1</v>
      </c>
      <c r="K93" s="371">
        <v>1</v>
      </c>
      <c r="L93" s="76" t="str">
        <f>IF(ISBLANK($D93),"Please supply date this form was completed on.","")</f>
        <v>Please supply date this form was completed on.</v>
      </c>
    </row>
    <row r="94" spans="1:12" ht="10.5" customHeight="1" x14ac:dyDescent="0.25">
      <c r="A94" s="69" t="s">
        <v>53</v>
      </c>
      <c r="B94" s="70" t="s">
        <v>54</v>
      </c>
      <c r="C94" s="71" t="s">
        <v>1257</v>
      </c>
      <c r="D94" s="122"/>
      <c r="E94" s="341" t="s">
        <v>1241</v>
      </c>
      <c r="F94" s="376" t="str">
        <f>IF(OR(J94=0,K94=0),"N","Y")</f>
        <v>N</v>
      </c>
      <c r="G94" s="98" t="s">
        <v>1361</v>
      </c>
      <c r="H94" s="67"/>
      <c r="I94" s="117" t="str">
        <f>IF(ISBLANK($D$94),"NULL",LEFT(T($D$94),128))</f>
        <v>NULL</v>
      </c>
      <c r="J94" s="361">
        <f>IF($I94="NULL",0,1)</f>
        <v>0</v>
      </c>
      <c r="K94" s="361">
        <f>IF($I94="NULL",0,1)</f>
        <v>0</v>
      </c>
      <c r="L94" s="76" t="str">
        <f>IF(ISBLANK($D94),"Please supply the name of the person completing this form.","")</f>
        <v>Please supply the name of the person completing this form.</v>
      </c>
    </row>
    <row r="95" spans="1:12" ht="10.5" customHeight="1" x14ac:dyDescent="0.25">
      <c r="A95" s="69" t="s">
        <v>53</v>
      </c>
      <c r="B95" s="70" t="s">
        <v>54</v>
      </c>
      <c r="C95" s="71" t="s">
        <v>1200</v>
      </c>
      <c r="D95" s="122"/>
      <c r="E95" s="341" t="s">
        <v>1241</v>
      </c>
      <c r="F95" s="376" t="str">
        <f>IF(OR(J95=0,K95=0),"N","Y")</f>
        <v>Y</v>
      </c>
      <c r="G95" s="98" t="s">
        <v>1362</v>
      </c>
      <c r="H95" s="67"/>
      <c r="I95" s="117" t="str">
        <f>IF(ISBLANK($D$95),"NULL",LEFT(T($D$95),128))</f>
        <v>NULL</v>
      </c>
      <c r="J95" s="371">
        <v>1</v>
      </c>
      <c r="K95" s="371">
        <v>1</v>
      </c>
      <c r="L95" s="76" t="str">
        <f>IF(ISBLANK($D95),"Please supply the name of the company completing this form.","")</f>
        <v>Please supply the name of the company completing this form.</v>
      </c>
    </row>
    <row r="96" spans="1:12" ht="10.5" customHeight="1" x14ac:dyDescent="0.25">
      <c r="A96" s="69" t="s">
        <v>53</v>
      </c>
      <c r="B96" s="70" t="s">
        <v>54</v>
      </c>
      <c r="C96" s="71" t="s">
        <v>1255</v>
      </c>
      <c r="D96" s="122"/>
      <c r="E96" s="341" t="s">
        <v>1241</v>
      </c>
      <c r="F96" s="376" t="str">
        <f>IF(OR(J96=0,K96=0),"N","Y")</f>
        <v>Y</v>
      </c>
      <c r="G96" s="98" t="s">
        <v>1363</v>
      </c>
      <c r="H96" s="67"/>
      <c r="I96" s="117" t="str">
        <f>IF(ISBLANK($D$96),"NULL",LEFT(T($D$96),128))</f>
        <v>NULL</v>
      </c>
      <c r="J96" s="371">
        <v>1</v>
      </c>
      <c r="K96" s="371">
        <v>1</v>
      </c>
      <c r="L96" s="76" t="str">
        <f>IF(ISBLANK($D96),"Please supply the e-mail address of the person completing this form.","")</f>
        <v>Please supply the e-mail address of the person completing this form.</v>
      </c>
    </row>
    <row r="97" spans="1:12" ht="10.5" customHeight="1" x14ac:dyDescent="0.25">
      <c r="A97" s="69" t="s">
        <v>53</v>
      </c>
      <c r="B97" s="70" t="s">
        <v>54</v>
      </c>
      <c r="C97" s="71" t="s">
        <v>1256</v>
      </c>
      <c r="D97" s="125"/>
      <c r="E97" s="341" t="s">
        <v>1241</v>
      </c>
      <c r="F97" s="376" t="str">
        <f>IF(OR(J97=0,K97=0),"N","Y")</f>
        <v>Y</v>
      </c>
      <c r="G97" s="98" t="s">
        <v>1364</v>
      </c>
      <c r="H97" s="67"/>
      <c r="I97" s="117" t="str">
        <f>IF(ISBLANK($D$97),"NULL",TEXT(SUBSTITUTE($D$97," ",""),"###0"))</f>
        <v>NULL</v>
      </c>
      <c r="J97" s="371">
        <v>1</v>
      </c>
      <c r="K97" s="371">
        <v>1</v>
      </c>
      <c r="L97" s="76" t="str">
        <f>IF(ISBLANK($D97),"Please supply the name of the contact telephone number of person completing this form.","")</f>
        <v>Please supply the name of the contact telephone number of person completing this form.</v>
      </c>
    </row>
    <row r="98" spans="1:12" ht="10.5" customHeight="1" x14ac:dyDescent="0.25">
      <c r="A98" s="64"/>
      <c r="B98" s="65"/>
      <c r="C98" s="394"/>
      <c r="D98" s="392"/>
      <c r="E98" s="393"/>
      <c r="F98" s="376"/>
      <c r="G98" s="67"/>
      <c r="H98" s="67"/>
      <c r="I98" s="68"/>
      <c r="J98" s="363"/>
      <c r="K98" s="363"/>
      <c r="L98" s="392"/>
    </row>
    <row r="99" spans="1:12" ht="10.5" customHeight="1" x14ac:dyDescent="0.25">
      <c r="A99" s="65"/>
      <c r="B99" s="65"/>
      <c r="C99" s="562" t="s">
        <v>1258</v>
      </c>
      <c r="D99" s="562"/>
      <c r="E99" s="562"/>
      <c r="F99" s="562"/>
      <c r="G99" s="562"/>
      <c r="H99" s="562"/>
      <c r="I99" s="562"/>
      <c r="J99" s="562"/>
      <c r="K99" s="562"/>
      <c r="L99" s="562"/>
    </row>
    <row r="100" spans="1:12" ht="10.5" customHeight="1" x14ac:dyDescent="0.25">
      <c r="A100" s="65"/>
      <c r="B100" s="65"/>
      <c r="C100" s="555"/>
      <c r="D100" s="555"/>
      <c r="E100" s="555"/>
      <c r="F100" s="377"/>
      <c r="G100" s="118"/>
      <c r="H100" s="555"/>
      <c r="I100" s="119"/>
      <c r="J100" s="119"/>
      <c r="K100" s="119"/>
      <c r="L100" s="555"/>
    </row>
    <row r="101" spans="1:12" ht="10.5" customHeight="1" x14ac:dyDescent="0.25">
      <c r="A101" s="65"/>
      <c r="B101" s="65"/>
      <c r="C101" s="563" t="str">
        <f>IF($I$3="FVC",lists!AB2,lists!AB3)</f>
        <v>By selecting "I certify that the information contained in this form is accurate", you are confirming that the information you are supplying in this form is accurate to the best of your knowledge 
and complies with the document 'Special Purpose Vehicle Registration Form - Guidance Notes" available on https://centralbank.ie/statistics/statistical-reporting-requirements/special-purpose-vehicles</v>
      </c>
      <c r="D101" s="563"/>
      <c r="E101" s="563"/>
      <c r="F101" s="563"/>
      <c r="G101" s="563"/>
      <c r="H101" s="563"/>
      <c r="I101" s="563"/>
      <c r="J101" s="563"/>
      <c r="K101" s="563"/>
      <c r="L101" s="563"/>
    </row>
    <row r="102" spans="1:12" ht="10.5" customHeight="1" x14ac:dyDescent="0.25">
      <c r="A102" s="65"/>
      <c r="B102" s="65"/>
      <c r="C102" s="556"/>
      <c r="D102" s="556"/>
      <c r="E102" s="556"/>
      <c r="F102" s="556"/>
      <c r="G102" s="556"/>
      <c r="H102" s="556"/>
      <c r="I102" s="556"/>
      <c r="J102" s="556"/>
      <c r="K102" s="556"/>
      <c r="L102" s="556"/>
    </row>
    <row r="103" spans="1:12" ht="10.5" customHeight="1" x14ac:dyDescent="0.25">
      <c r="A103" s="65"/>
      <c r="B103" s="65"/>
      <c r="C103" s="394"/>
      <c r="D103" s="59" t="str">
        <f>$D$1</f>
        <v>FORM INCOMPLETE</v>
      </c>
      <c r="E103" s="393"/>
      <c r="F103" s="376"/>
      <c r="G103" s="67"/>
      <c r="H103" s="67"/>
      <c r="I103" s="68"/>
      <c r="J103" s="363"/>
      <c r="K103" s="363"/>
      <c r="L103" s="392"/>
    </row>
    <row r="104" spans="1:12" ht="10.5" customHeight="1" x14ac:dyDescent="0.25">
      <c r="A104" s="69" t="s">
        <v>53</v>
      </c>
      <c r="B104" s="70" t="s">
        <v>54</v>
      </c>
      <c r="C104" s="71" t="s">
        <v>1201</v>
      </c>
      <c r="D104" s="397" t="s">
        <v>1218</v>
      </c>
      <c r="E104" s="400" t="s">
        <v>1508</v>
      </c>
      <c r="F104" s="376" t="str">
        <f>IF(OR(J104=0,K104=0),"N","Y")</f>
        <v>Y</v>
      </c>
      <c r="G104" s="98" t="s">
        <v>1367</v>
      </c>
      <c r="H104" s="99"/>
      <c r="I104" s="78" t="b">
        <f>IFERROR(IF($D104="Please Select","NULL",VLOOKUP($D104,lists!$C$1:$E$4,3,FALSE)),"NULL")</f>
        <v>1</v>
      </c>
      <c r="J104" s="361">
        <f>IF($I104="NULL",0,1)</f>
        <v>1</v>
      </c>
      <c r="K104" s="361">
        <f>IF($I104="NULL",0,1)</f>
        <v>1</v>
      </c>
      <c r="L104" s="100" t="str">
        <f>IF($I$104&lt;&gt;TRUE,"Please certify that the information in this form is accurate.","I certify that the information in this form is accurate.")</f>
        <v>I certify that the information in this form is accurate.</v>
      </c>
    </row>
    <row r="105" spans="1:12" ht="10.5" customHeight="1" x14ac:dyDescent="0.25">
      <c r="A105" s="64"/>
      <c r="B105" s="65"/>
      <c r="C105" s="394"/>
      <c r="D105" s="392"/>
      <c r="E105" s="393"/>
      <c r="F105" s="376"/>
      <c r="G105" s="67"/>
      <c r="H105" s="67"/>
      <c r="I105" s="68"/>
      <c r="J105" s="373">
        <f>IF($I3="FVC",COUNTIF($J$3:$J$11,0)+COUNTIF($J$20:$J$104,0),0)</f>
        <v>0</v>
      </c>
      <c r="K105" s="373">
        <f>IF($I3="SPV",COUNTIF($K$3:$K$11,0)+COUNTIF($K$20:$K$104,0),0)</f>
        <v>0</v>
      </c>
      <c r="L105" s="548" t="s">
        <v>1567</v>
      </c>
    </row>
    <row r="106" spans="1:12" ht="10.5" customHeight="1" x14ac:dyDescent="0.25">
      <c r="A106" s="85"/>
      <c r="B106" s="60"/>
      <c r="C106" s="60" t="s">
        <v>1378</v>
      </c>
      <c r="D106" s="59" t="str">
        <f>IF(OR($J$115&gt;0,$K$115&gt;0),"INCOMPLETE","COMPLETED")</f>
        <v>INCOMPLETE</v>
      </c>
      <c r="E106" s="88"/>
      <c r="F106" s="375"/>
      <c r="G106" s="108"/>
      <c r="H106" s="108"/>
      <c r="I106" s="109"/>
      <c r="J106" s="366"/>
      <c r="K106" s="366"/>
      <c r="L106" s="396"/>
    </row>
    <row r="107" spans="1:12" ht="10.5" customHeight="1" x14ac:dyDescent="0.25">
      <c r="A107" s="64"/>
      <c r="B107" s="65"/>
      <c r="C107" s="394"/>
      <c r="D107" s="392"/>
      <c r="E107" s="393"/>
      <c r="F107" s="376"/>
      <c r="G107" s="67"/>
      <c r="H107" s="67"/>
      <c r="I107" s="68"/>
      <c r="J107" s="363"/>
      <c r="K107" s="363"/>
      <c r="L107" s="392"/>
    </row>
    <row r="108" spans="1:12" ht="10.5" customHeight="1" x14ac:dyDescent="0.25">
      <c r="A108" s="69" t="s">
        <v>53</v>
      </c>
      <c r="B108" s="70" t="s">
        <v>54</v>
      </c>
      <c r="C108" s="71" t="str">
        <f>"Central Bank C-Code of " &amp; $I$3</f>
        <v>Central Bank C-Code of XXX</v>
      </c>
      <c r="D108" s="125"/>
      <c r="E108" s="341" t="s">
        <v>1241</v>
      </c>
      <c r="F108" s="376" t="str">
        <f>IF(OR(J108=0,K108=0),"N","Y")</f>
        <v>N</v>
      </c>
      <c r="G108" s="204" t="s">
        <v>1288</v>
      </c>
      <c r="H108" s="67"/>
      <c r="I108" s="73">
        <f>IF(LEFT($D$108,1)="C",VALUE(MID($D$108,2,7)),VALUE($D$108))</f>
        <v>0</v>
      </c>
      <c r="J108" s="360">
        <f>IF($I$108=0,0,1)</f>
        <v>0</v>
      </c>
      <c r="K108" s="360">
        <f>IF($I$108=0,0,1)</f>
        <v>0</v>
      </c>
      <c r="L108" s="392"/>
    </row>
    <row r="109" spans="1:12" ht="10.5" customHeight="1" x14ac:dyDescent="0.25">
      <c r="A109" s="69" t="s">
        <v>53</v>
      </c>
      <c r="B109" s="70" t="s">
        <v>54</v>
      </c>
      <c r="C109" s="71" t="s">
        <v>1406</v>
      </c>
      <c r="D109" s="397" t="s">
        <v>1486</v>
      </c>
      <c r="E109" s="400" t="s">
        <v>1508</v>
      </c>
      <c r="F109" s="376" t="str">
        <f>IF(OR(J109=0,K109=0),"N","Y")</f>
        <v>N</v>
      </c>
      <c r="G109" s="98" t="s">
        <v>1407</v>
      </c>
      <c r="H109" s="99"/>
      <c r="I109" s="78" t="str">
        <f>IFERROR(IF($D109="Please Select","NULL",VLOOKUP($D109,lists!$C$1:$E$4,3,FALSE)),"NULL")</f>
        <v>NULL</v>
      </c>
      <c r="J109" s="361">
        <f>IF($I109="NULL",0,1)</f>
        <v>0</v>
      </c>
      <c r="K109" s="361">
        <f>IF($I109="NULL",0,1)</f>
        <v>0</v>
      </c>
      <c r="L109" s="104" t="str">
        <f>IF($D$109="Yes","The entity is REGISTERED",
IF($D$109="No","The entity has been DEREGISTERED","PLEASE SELECT THE REPORTING STATUS OF THE ENTITY"))</f>
        <v>PLEASE SELECT THE REPORTING STATUS OF THE ENTITY</v>
      </c>
    </row>
    <row r="110" spans="1:12" ht="10.5" customHeight="1" x14ac:dyDescent="0.25">
      <c r="A110" s="69" t="s">
        <v>53</v>
      </c>
      <c r="B110" s="70" t="s">
        <v>54</v>
      </c>
      <c r="C110" s="71" t="s">
        <v>1202</v>
      </c>
      <c r="D110" s="395" t="s">
        <v>1573</v>
      </c>
      <c r="E110" s="346" t="s">
        <v>1215</v>
      </c>
      <c r="F110" s="376" t="str">
        <f>IF(OR(J110=0,K110=0),"N","Y")</f>
        <v>Y</v>
      </c>
      <c r="G110" s="72" t="s">
        <v>1284</v>
      </c>
      <c r="H110" s="67"/>
      <c r="I110" s="78" t="str">
        <f>IF($D$110="",dates!$E$31,$D$110)</f>
        <v>2022Q2</v>
      </c>
      <c r="J110" s="361">
        <f>IF($D$110="",0,1)</f>
        <v>1</v>
      </c>
      <c r="K110" s="361">
        <f>IF($D$110="",0,1)</f>
        <v>1</v>
      </c>
      <c r="L110" s="392"/>
    </row>
    <row r="111" spans="1:12" ht="10.5" customHeight="1" x14ac:dyDescent="0.25">
      <c r="A111" s="69" t="s">
        <v>53</v>
      </c>
      <c r="B111" s="70" t="s">
        <v>54</v>
      </c>
      <c r="C111" s="71" t="s">
        <v>1203</v>
      </c>
      <c r="D111" s="553" t="s">
        <v>6</v>
      </c>
      <c r="E111" s="346" t="s">
        <v>1215</v>
      </c>
      <c r="F111" s="376" t="str">
        <f>IF(OR(J111=0,K111=0),"N","Y")</f>
        <v>Y</v>
      </c>
      <c r="G111" s="72" t="s">
        <v>1309</v>
      </c>
      <c r="H111" s="67"/>
      <c r="I111" s="78" t="str">
        <f>IF(OR($D$111=0,ISBLANK($D$111)),"2999Q4",$D$111)</f>
        <v>2999Q4</v>
      </c>
      <c r="J111" s="361">
        <f>IF(AND($D$111="2999Q4",$D$109="No"),0,IF(AND($D$111&lt;&gt;"2999Q4",$D$109="Yes"),0,1))</f>
        <v>1</v>
      </c>
      <c r="K111" s="361">
        <f>IF(AND($D$111="2999Q4",$D$109="No"),0,IF(AND($D$111&lt;&gt;"2999Q4",$D$109="Yes"),0,1))</f>
        <v>1</v>
      </c>
      <c r="L111" s="554" t="str">
        <f>IF(AND($D$111="2999Q4",$D$109="No"),"    Vehicle is DEREGISTERED but last quarter not provided",IF(AND($D$111&lt;&gt;"2999Q4",$D$109="Yes"),"Vehicle is REGISTERED but last quarter is provided",""))</f>
        <v/>
      </c>
    </row>
    <row r="112" spans="1:12" ht="10.5" customHeight="1" x14ac:dyDescent="0.25">
      <c r="A112" s="80"/>
      <c r="B112" s="81"/>
      <c r="C112" s="75"/>
      <c r="D112" s="151"/>
      <c r="E112" s="393"/>
      <c r="F112" s="376"/>
      <c r="G112" s="152"/>
      <c r="H112" s="67"/>
      <c r="I112" s="83"/>
      <c r="J112" s="364"/>
      <c r="K112" s="364"/>
      <c r="L112" s="392"/>
    </row>
    <row r="113" spans="1:12" ht="10.5" customHeight="1" x14ac:dyDescent="0.25">
      <c r="A113" s="69" t="s">
        <v>53</v>
      </c>
      <c r="B113" s="70" t="s">
        <v>54</v>
      </c>
      <c r="C113" s="71" t="s">
        <v>1310</v>
      </c>
      <c r="D113" s="395" t="s">
        <v>1486</v>
      </c>
      <c r="E113" s="346" t="str">
        <f>IF($D$109="No","Select","Ignore")</f>
        <v>Ignore</v>
      </c>
      <c r="F113" s="376" t="str">
        <f>IF(OR(J113=0,K113=0),"N","Y")</f>
        <v>Y</v>
      </c>
      <c r="G113" s="72" t="s">
        <v>1316</v>
      </c>
      <c r="H113" s="99"/>
      <c r="I113" s="78" t="str">
        <f>IF($D$113=0,"NULL",IF($I$109=TRUE,"NULL",IF($D$113="Please Select","NULL",$D$113)))</f>
        <v>NULL</v>
      </c>
      <c r="J113" s="361">
        <f>IF(AND($I$109=FALSE,$I$113="NULL"),0,1)</f>
        <v>1</v>
      </c>
      <c r="K113" s="361">
        <f>IF(AND($I$109=FALSE,$I$113="NULL"),0,1)</f>
        <v>1</v>
      </c>
      <c r="L113" s="100"/>
    </row>
    <row r="114" spans="1:12" ht="10.5" customHeight="1" x14ac:dyDescent="0.25">
      <c r="A114" s="69" t="s">
        <v>53</v>
      </c>
      <c r="B114" s="70" t="s">
        <v>54</v>
      </c>
      <c r="C114" s="71" t="s">
        <v>1311</v>
      </c>
      <c r="D114" s="395" t="s">
        <v>1486</v>
      </c>
      <c r="E114" s="346" t="str">
        <f>IF($D$109="No","Select","Ignore")</f>
        <v>Ignore</v>
      </c>
      <c r="F114" s="376" t="str">
        <f>IF(OR(J114=0,K114=0),"N","Y")</f>
        <v>Y</v>
      </c>
      <c r="G114" s="72" t="s">
        <v>1283</v>
      </c>
      <c r="H114" s="99"/>
      <c r="I114" s="78" t="str">
        <f>IF($D$114=0,"NULL",IF($I$109=TRUE,"NULL",IF($D$114="Please Select","NULL",$D$114)))</f>
        <v>NULL</v>
      </c>
      <c r="J114" s="361">
        <f>IF(AND($I$109=FALSE,$I$114="NULL"),0,1)</f>
        <v>1</v>
      </c>
      <c r="K114" s="361">
        <f>IF(AND($I$109=FALSE,$I$114="NULL"),0,1)</f>
        <v>1</v>
      </c>
      <c r="L114" s="100"/>
    </row>
    <row r="115" spans="1:12" ht="10.5" customHeight="1" x14ac:dyDescent="0.25">
      <c r="A115" s="64"/>
      <c r="B115" s="65"/>
      <c r="C115" s="394"/>
      <c r="D115" s="392"/>
      <c r="E115" s="393"/>
      <c r="F115" s="376"/>
      <c r="G115" s="67"/>
      <c r="H115" s="67"/>
      <c r="I115" s="68"/>
      <c r="J115" s="373">
        <f>COUNTIF($J$108:$J$114,0)</f>
        <v>2</v>
      </c>
      <c r="K115" s="373">
        <f>COUNTIF($K$108:$K$114,0)</f>
        <v>2</v>
      </c>
      <c r="L115" s="392"/>
    </row>
    <row r="116" spans="1:12" ht="10.5" customHeight="1" x14ac:dyDescent="0.25">
      <c r="A116" s="64"/>
      <c r="B116" s="65"/>
      <c r="C116" s="394"/>
      <c r="D116" s="392"/>
      <c r="E116" s="393"/>
      <c r="F116" s="376"/>
      <c r="G116" s="67"/>
      <c r="H116" s="67"/>
      <c r="I116" s="68"/>
      <c r="J116" s="68"/>
      <c r="K116" s="68"/>
      <c r="L116" s="392"/>
    </row>
    <row r="117" spans="1:12" ht="10.5" customHeight="1" x14ac:dyDescent="0.25">
      <c r="A117" s="69" t="s">
        <v>53</v>
      </c>
      <c r="B117" s="70" t="s">
        <v>54</v>
      </c>
      <c r="C117" s="71" t="s">
        <v>1497</v>
      </c>
      <c r="D117" s="374" t="str">
        <f ca="1">TEXT(NOW(),"dd/mm/yyy hh:mm:ss.00")</f>
        <v>16/08/2022 15:36:52.50</v>
      </c>
      <c r="E117" s="346" t="s">
        <v>1307</v>
      </c>
      <c r="F117" s="376" t="str">
        <f>IF(OR(J117=0,K117=0),"N","Y")</f>
        <v>Y</v>
      </c>
      <c r="G117" s="72" t="s">
        <v>1498</v>
      </c>
      <c r="H117" s="99"/>
      <c r="I117" s="78" t="str">
        <f ca="1">TEXT(NOW(),"dd/mm/yyy hh:mm:ss.00")</f>
        <v>16/08/2022 15:36:52.50</v>
      </c>
      <c r="J117" s="371">
        <v>1</v>
      </c>
      <c r="K117" s="371">
        <v>1</v>
      </c>
      <c r="L117" s="392"/>
    </row>
    <row r="118" spans="1:12" ht="10.5" customHeight="1" x14ac:dyDescent="0.25">
      <c r="A118" s="64"/>
      <c r="B118" s="65"/>
      <c r="C118" s="394"/>
      <c r="D118" s="392"/>
      <c r="E118" s="393"/>
      <c r="F118" s="376"/>
      <c r="G118" s="67"/>
      <c r="H118" s="67"/>
      <c r="I118" s="68"/>
      <c r="J118" s="68"/>
      <c r="K118" s="68"/>
      <c r="L118" s="392"/>
    </row>
    <row r="119" spans="1:12" ht="10.5" customHeight="1" x14ac:dyDescent="0.25">
      <c r="A119" s="391"/>
      <c r="B119" s="391"/>
      <c r="C119" s="390"/>
      <c r="D119" s="388"/>
      <c r="E119" s="389"/>
      <c r="F119" s="378"/>
      <c r="G119" s="388"/>
      <c r="H119" s="388"/>
      <c r="I119" s="120"/>
      <c r="J119" s="368"/>
      <c r="K119" s="368"/>
      <c r="L119" s="388"/>
    </row>
  </sheetData>
  <sheetProtection algorithmName="SHA-512" hashValue="2Y3qAgWbg6h7OppSOE/LwaBuafKVkjTF9wNOfvrhUcKrC68+Q7HM6djH+45be1kfKadaLoK5yL2x9tCKKE8MmA==" saltValue="EuKKv1o4+sFr5QlU83jHmA==" spinCount="100000" sheet="1" objects="1" scenarios="1"/>
  <mergeCells count="3">
    <mergeCell ref="L79:L80"/>
    <mergeCell ref="C99:L99"/>
    <mergeCell ref="C101:L101"/>
  </mergeCells>
  <conditionalFormatting sqref="I79">
    <cfRule type="containsText" dxfId="143" priority="106" operator="containsText" text="Select Vehicle Type">
      <formula>NOT(ISERROR(SEARCH("Select Vehicle Type",I79)))</formula>
    </cfRule>
  </conditionalFormatting>
  <conditionalFormatting sqref="I5">
    <cfRule type="containsText" dxfId="142" priority="111" operator="containsText" text="Select Vehicle Type">
      <formula>NOT(ISERROR(SEARCH("Select Vehicle Type",I5)))</formula>
    </cfRule>
  </conditionalFormatting>
  <conditionalFormatting sqref="I7">
    <cfRule type="containsText" dxfId="141" priority="110" operator="containsText" text="Select Vehicle Type">
      <formula>NOT(ISERROR(SEARCH("Select Vehicle Type",I7)))</formula>
    </cfRule>
  </conditionalFormatting>
  <conditionalFormatting sqref="I9">
    <cfRule type="containsText" dxfId="140" priority="109" operator="containsText" text="Select Vehicle Type">
      <formula>NOT(ISERROR(SEARCH("Select Vehicle Type",I9)))</formula>
    </cfRule>
  </conditionalFormatting>
  <conditionalFormatting sqref="I11">
    <cfRule type="containsText" dxfId="139" priority="108" operator="containsText" text="Select Vehicle Type">
      <formula>NOT(ISERROR(SEARCH("Select Vehicle Type",I11)))</formula>
    </cfRule>
  </conditionalFormatting>
  <conditionalFormatting sqref="I13:I17">
    <cfRule type="containsText" dxfId="138" priority="107" operator="containsText" text="Select Vehicle Type">
      <formula>NOT(ISERROR(SEARCH("Select Vehicle Type",I13)))</formula>
    </cfRule>
  </conditionalFormatting>
  <conditionalFormatting sqref="I84">
    <cfRule type="containsText" dxfId="137" priority="105" operator="containsText" text="Select Vehicle Type">
      <formula>NOT(ISERROR(SEARCH("Select Vehicle Type",I84)))</formula>
    </cfRule>
  </conditionalFormatting>
  <conditionalFormatting sqref="I108">
    <cfRule type="containsText" dxfId="136" priority="104" operator="containsText" text="Select Vehicle Type">
      <formula>NOT(ISERROR(SEARCH("Select Vehicle Type",I108)))</formula>
    </cfRule>
  </conditionalFormatting>
  <conditionalFormatting sqref="I111:I112">
    <cfRule type="containsText" dxfId="135" priority="103" operator="containsText" text="Select Vehicle Type">
      <formula>NOT(ISERROR(SEARCH("Select Vehicle Type",I111)))</formula>
    </cfRule>
  </conditionalFormatting>
  <conditionalFormatting sqref="I81">
    <cfRule type="containsText" dxfId="134" priority="102" operator="containsText" text="Select Vehicle Type">
      <formula>NOT(ISERROR(SEARCH("Select Vehicle Type",I81)))</formula>
    </cfRule>
  </conditionalFormatting>
  <conditionalFormatting sqref="I82">
    <cfRule type="containsText" dxfId="133" priority="101" operator="containsText" text="Select Vehicle Type">
      <formula>NOT(ISERROR(SEARCH("Select Vehicle Type",I82)))</formula>
    </cfRule>
  </conditionalFormatting>
  <conditionalFormatting sqref="I87:I88">
    <cfRule type="containsText" dxfId="132" priority="100" operator="containsText" text="Select Vehicle Type">
      <formula>NOT(ISERROR(SEARCH("Select Vehicle Type",I87)))</formula>
    </cfRule>
  </conditionalFormatting>
  <conditionalFormatting sqref="I93:I97">
    <cfRule type="containsText" dxfId="131" priority="99" operator="containsText" text="Select Vehicle Type">
      <formula>NOT(ISERROR(SEARCH("Select Vehicle Type",I93)))</formula>
    </cfRule>
  </conditionalFormatting>
  <conditionalFormatting sqref="I89">
    <cfRule type="containsText" dxfId="130" priority="98" operator="containsText" text="Select Vehicle Type">
      <formula>NOT(ISERROR(SEARCH("Select Vehicle Type",I89)))</formula>
    </cfRule>
  </conditionalFormatting>
  <conditionalFormatting sqref="L104">
    <cfRule type="expression" dxfId="129" priority="97">
      <formula>$I$104&lt;&gt;TRUE</formula>
    </cfRule>
  </conditionalFormatting>
  <conditionalFormatting sqref="L44">
    <cfRule type="expression" dxfId="128" priority="96">
      <formula>$I$44="NULL"</formula>
    </cfRule>
  </conditionalFormatting>
  <conditionalFormatting sqref="L109">
    <cfRule type="expression" dxfId="127" priority="95">
      <formula>$I$109="NULL"</formula>
    </cfRule>
  </conditionalFormatting>
  <conditionalFormatting sqref="L27">
    <cfRule type="expression" dxfId="126" priority="94">
      <formula>$I$27="NULL"</formula>
    </cfRule>
  </conditionalFormatting>
  <conditionalFormatting sqref="L3">
    <cfRule type="expression" dxfId="125" priority="93">
      <formula>$I$3="XXX"</formula>
    </cfRule>
  </conditionalFormatting>
  <conditionalFormatting sqref="L29">
    <cfRule type="expression" dxfId="124" priority="92" stopIfTrue="1">
      <formula>$I$29="NULL"</formula>
    </cfRule>
  </conditionalFormatting>
  <conditionalFormatting sqref="J5:K5">
    <cfRule type="containsText" dxfId="123" priority="91" operator="containsText" text="Select Vehicle Type">
      <formula>NOT(ISERROR(SEARCH("Select Vehicle Type",J5)))</formula>
    </cfRule>
  </conditionalFormatting>
  <conditionalFormatting sqref="J7:K7">
    <cfRule type="containsText" dxfId="122" priority="90" operator="containsText" text="Select Vehicle Type">
      <formula>NOT(ISERROR(SEARCH("Select Vehicle Type",J7)))</formula>
    </cfRule>
  </conditionalFormatting>
  <conditionalFormatting sqref="J88:K88">
    <cfRule type="containsText" dxfId="121" priority="86" operator="containsText" text="Select Vehicle Type">
      <formula>NOT(ISERROR(SEARCH("Select Vehicle Type",J88)))</formula>
    </cfRule>
  </conditionalFormatting>
  <conditionalFormatting sqref="J108:K108">
    <cfRule type="containsText" dxfId="120" priority="89" operator="containsText" text="Select Vehicle Type">
      <formula>NOT(ISERROR(SEARCH("Select Vehicle Type",J108)))</formula>
    </cfRule>
  </conditionalFormatting>
  <conditionalFormatting sqref="J112:K112">
    <cfRule type="containsText" dxfId="119" priority="88" operator="containsText" text="Select Vehicle Type">
      <formula>NOT(ISERROR(SEARCH("Select Vehicle Type",J112)))</formula>
    </cfRule>
  </conditionalFormatting>
  <conditionalFormatting sqref="J81:K81">
    <cfRule type="containsText" dxfId="118" priority="87" operator="containsText" text="Select Vehicle Type">
      <formula>NOT(ISERROR(SEARCH("Select Vehicle Type",J81)))</formula>
    </cfRule>
  </conditionalFormatting>
  <conditionalFormatting sqref="J110:K111">
    <cfRule type="containsText" dxfId="117" priority="85" operator="containsText" text="Select Vehicle Type">
      <formula>NOT(ISERROR(SEARCH("Select Vehicle Type",J110)))</formula>
    </cfRule>
  </conditionalFormatting>
  <conditionalFormatting sqref="J9:K9">
    <cfRule type="containsText" dxfId="116" priority="84" operator="containsText" text="Select Vehicle Type">
      <formula>NOT(ISERROR(SEARCH("Select Vehicle Type",J9)))</formula>
    </cfRule>
  </conditionalFormatting>
  <conditionalFormatting sqref="J11:K11">
    <cfRule type="containsText" dxfId="115" priority="83" operator="containsText" text="Select Vehicle Type">
      <formula>NOT(ISERROR(SEARCH("Select Vehicle Type",J11)))</formula>
    </cfRule>
  </conditionalFormatting>
  <conditionalFormatting sqref="J31:K31">
    <cfRule type="containsText" dxfId="114" priority="81" operator="containsText" text="Select Vehicle Type">
      <formula>NOT(ISERROR(SEARCH("Select Vehicle Type",J31)))</formula>
    </cfRule>
  </conditionalFormatting>
  <conditionalFormatting sqref="J27:K27">
    <cfRule type="containsText" dxfId="113" priority="82" operator="containsText" text="Select Vehicle Type">
      <formula>NOT(ISERROR(SEARCH("Select Vehicle Type",J27)))</formula>
    </cfRule>
  </conditionalFormatting>
  <conditionalFormatting sqref="J13:K19">
    <cfRule type="containsText" dxfId="112" priority="80" operator="containsText" text="Select Vehicle Type">
      <formula>NOT(ISERROR(SEARCH("Select Vehicle Type",J13)))</formula>
    </cfRule>
  </conditionalFormatting>
  <conditionalFormatting sqref="K23:K25">
    <cfRule type="containsText" dxfId="111" priority="79" operator="containsText" text="Select Vehicle Type">
      <formula>NOT(ISERROR(SEARCH("Select Vehicle Type",K23)))</formula>
    </cfRule>
  </conditionalFormatting>
  <conditionalFormatting sqref="K29">
    <cfRule type="containsText" dxfId="110" priority="78" operator="containsText" text="Select Vehicle Type">
      <formula>NOT(ISERROR(SEARCH("Select Vehicle Type",K29)))</formula>
    </cfRule>
  </conditionalFormatting>
  <conditionalFormatting sqref="J3:K3">
    <cfRule type="containsText" dxfId="109" priority="77" operator="containsText" text="Select Vehicle Type">
      <formula>NOT(ISERROR(SEARCH("Select Vehicle Type",J3)))</formula>
    </cfRule>
  </conditionalFormatting>
  <conditionalFormatting sqref="J41:K42">
    <cfRule type="containsText" dxfId="108" priority="76" operator="containsText" text="Select Vehicle Type">
      <formula>NOT(ISERROR(SEARCH("Select Vehicle Type",J41)))</formula>
    </cfRule>
  </conditionalFormatting>
  <conditionalFormatting sqref="E45">
    <cfRule type="containsText" dxfId="107" priority="75" operator="containsText" text="Ignore">
      <formula>NOT(ISERROR(SEARCH("Ignore",E45)))</formula>
    </cfRule>
  </conditionalFormatting>
  <conditionalFormatting sqref="E46">
    <cfRule type="containsText" dxfId="106" priority="74" operator="containsText" text="Ignore">
      <formula>NOT(ISERROR(SEARCH("Ignore",E46)))</formula>
    </cfRule>
  </conditionalFormatting>
  <conditionalFormatting sqref="J66:K66">
    <cfRule type="containsText" dxfId="105" priority="73" operator="containsText" text="Select Vehicle Type">
      <formula>NOT(ISERROR(SEARCH("Select Vehicle Type",J66)))</formula>
    </cfRule>
  </conditionalFormatting>
  <conditionalFormatting sqref="J93:K93">
    <cfRule type="containsText" dxfId="104" priority="72" operator="containsText" text="Select Vehicle Type">
      <formula>NOT(ISERROR(SEARCH("Select Vehicle Type",J93)))</formula>
    </cfRule>
  </conditionalFormatting>
  <conditionalFormatting sqref="J95:K97">
    <cfRule type="containsText" dxfId="103" priority="71" operator="containsText" text="Select Vehicle Type">
      <formula>NOT(ISERROR(SEARCH("Select Vehicle Type",J95)))</formula>
    </cfRule>
  </conditionalFormatting>
  <conditionalFormatting sqref="J70:K70">
    <cfRule type="containsText" dxfId="102" priority="70" operator="containsText" text="Select Vehicle Type">
      <formula>NOT(ISERROR(SEARCH("Select Vehicle Type",J70)))</formula>
    </cfRule>
  </conditionalFormatting>
  <conditionalFormatting sqref="J82:K82">
    <cfRule type="containsText" dxfId="101" priority="69" operator="containsText" text="Select Vehicle Type">
      <formula>NOT(ISERROR(SEARCH("Select Vehicle Type",J82)))</formula>
    </cfRule>
  </conditionalFormatting>
  <conditionalFormatting sqref="J87:K87">
    <cfRule type="containsText" dxfId="100" priority="68" operator="containsText" text="Select Vehicle Type">
      <formula>NOT(ISERROR(SEARCH("Select Vehicle Type",J87)))</formula>
    </cfRule>
  </conditionalFormatting>
  <conditionalFormatting sqref="J89:K89">
    <cfRule type="containsText" dxfId="99" priority="67" operator="containsText" text="Select Vehicle Type">
      <formula>NOT(ISERROR(SEARCH("Select Vehicle Type",J89)))</formula>
    </cfRule>
  </conditionalFormatting>
  <conditionalFormatting sqref="J73:K73">
    <cfRule type="containsText" dxfId="98" priority="66" operator="containsText" text="Select Vehicle Type">
      <formula>NOT(ISERROR(SEARCH("Select Vehicle Type",J73)))</formula>
    </cfRule>
  </conditionalFormatting>
  <conditionalFormatting sqref="J79:K79">
    <cfRule type="containsText" dxfId="97" priority="65" operator="containsText" text="Select Vehicle Type">
      <formula>NOT(ISERROR(SEARCH("Select Vehicle Type",J79)))</formula>
    </cfRule>
  </conditionalFormatting>
  <conditionalFormatting sqref="J84:K85">
    <cfRule type="containsText" dxfId="96" priority="64" operator="containsText" text="Select Vehicle Type">
      <formula>NOT(ISERROR(SEARCH("Select Vehicle Type",J84)))</formula>
    </cfRule>
  </conditionalFormatting>
  <conditionalFormatting sqref="I86">
    <cfRule type="containsText" dxfId="95" priority="63" operator="containsText" text="Select Vehicle Type">
      <formula>NOT(ISERROR(SEARCH("Select Vehicle Type",I86)))</formula>
    </cfRule>
  </conditionalFormatting>
  <conditionalFormatting sqref="J104:K104">
    <cfRule type="containsText" dxfId="94" priority="62" operator="containsText" text="Select Vehicle Type">
      <formula>NOT(ISERROR(SEARCH("Select Vehicle Type",J104)))</formula>
    </cfRule>
  </conditionalFormatting>
  <conditionalFormatting sqref="J105:K105">
    <cfRule type="containsText" dxfId="93" priority="61" operator="containsText" text="Select Vehicle Type">
      <formula>NOT(ISERROR(SEARCH("Select Vehicle Type",J105)))</formula>
    </cfRule>
  </conditionalFormatting>
  <conditionalFormatting sqref="I110">
    <cfRule type="containsText" dxfId="92" priority="60" operator="containsText" text="Select Vehicle Type">
      <formula>NOT(ISERROR(SEARCH("Select Vehicle Type",I110)))</formula>
    </cfRule>
  </conditionalFormatting>
  <conditionalFormatting sqref="J94:K94">
    <cfRule type="containsText" dxfId="91" priority="59" operator="containsText" text="Select Vehicle Type">
      <formula>NOT(ISERROR(SEARCH("Select Vehicle Type",J94)))</formula>
    </cfRule>
  </conditionalFormatting>
  <conditionalFormatting sqref="J86:K86">
    <cfRule type="containsText" dxfId="90" priority="58" operator="containsText" text="Select Vehicle Type">
      <formula>NOT(ISERROR(SEARCH("Select Vehicle Type",J86)))</formula>
    </cfRule>
  </conditionalFormatting>
  <conditionalFormatting sqref="D1">
    <cfRule type="cellIs" dxfId="89" priority="56" operator="equal">
      <formula>"FORM COMPLETED"</formula>
    </cfRule>
    <cfRule type="containsText" dxfId="88" priority="57" operator="containsText" text="COMPLETE">
      <formula>NOT(ISERROR(SEARCH("COMPLETE",D1)))</formula>
    </cfRule>
  </conditionalFormatting>
  <conditionalFormatting sqref="J115:K115">
    <cfRule type="containsText" dxfId="87" priority="55" operator="containsText" text="Select Vehicle Type">
      <formula>NOT(ISERROR(SEARCH("Select Vehicle Type",J115)))</formula>
    </cfRule>
  </conditionalFormatting>
  <conditionalFormatting sqref="E113:E114">
    <cfRule type="containsText" dxfId="86" priority="54" operator="containsText" text="Ignore">
      <formula>NOT(ISERROR(SEARCH("Ignore",E113)))</formula>
    </cfRule>
  </conditionalFormatting>
  <conditionalFormatting sqref="D106">
    <cfRule type="containsText" dxfId="85" priority="52" operator="containsText" text="COMPLETED">
      <formula>NOT(ISERROR(SEARCH("COMPLETED",D106)))</formula>
    </cfRule>
    <cfRule type="containsText" dxfId="84" priority="53" operator="containsText" text="INCOMPLETE">
      <formula>NOT(ISERROR(SEARCH("INCOMPLETE",D106)))</formula>
    </cfRule>
  </conditionalFormatting>
  <conditionalFormatting sqref="E117">
    <cfRule type="containsText" dxfId="83" priority="51" operator="containsText" text="Ignore">
      <formula>NOT(ISERROR(SEARCH("Ignore",E117)))</formula>
    </cfRule>
  </conditionalFormatting>
  <conditionalFormatting sqref="J117:K117">
    <cfRule type="containsText" dxfId="82" priority="50" operator="containsText" text="Select Vehicle Type">
      <formula>NOT(ISERROR(SEARCH("Select Vehicle Type",J117)))</formula>
    </cfRule>
  </conditionalFormatting>
  <conditionalFormatting sqref="F3:F6 F8:F19">
    <cfRule type="cellIs" dxfId="81" priority="48" operator="equal">
      <formula>"Y"</formula>
    </cfRule>
    <cfRule type="containsText" dxfId="80" priority="49" operator="containsText" text="N">
      <formula>NOT(ISERROR(SEARCH("N",F3)))</formula>
    </cfRule>
  </conditionalFormatting>
  <conditionalFormatting sqref="F23:F25">
    <cfRule type="cellIs" dxfId="79" priority="46" operator="equal">
      <formula>"Y"</formula>
    </cfRule>
    <cfRule type="containsText" dxfId="78" priority="47" operator="containsText" text="N">
      <formula>NOT(ISERROR(SEARCH("N",F23)))</formula>
    </cfRule>
  </conditionalFormatting>
  <conditionalFormatting sqref="F27">
    <cfRule type="cellIs" dxfId="77" priority="44" operator="equal">
      <formula>"Y"</formula>
    </cfRule>
    <cfRule type="containsText" dxfId="76" priority="45" operator="containsText" text="N">
      <formula>NOT(ISERROR(SEARCH("N",F27)))</formula>
    </cfRule>
  </conditionalFormatting>
  <conditionalFormatting sqref="F29">
    <cfRule type="cellIs" dxfId="75" priority="42" operator="equal">
      <formula>"Y"</formula>
    </cfRule>
    <cfRule type="containsText" dxfId="74" priority="43" operator="containsText" text="N">
      <formula>NOT(ISERROR(SEARCH("N",F29)))</formula>
    </cfRule>
  </conditionalFormatting>
  <conditionalFormatting sqref="F31:F32">
    <cfRule type="cellIs" dxfId="73" priority="40" operator="equal">
      <formula>"Y"</formula>
    </cfRule>
    <cfRule type="containsText" dxfId="72" priority="41" operator="containsText" text="N">
      <formula>NOT(ISERROR(SEARCH("N",F31)))</formula>
    </cfRule>
  </conditionalFormatting>
  <conditionalFormatting sqref="F34">
    <cfRule type="cellIs" dxfId="71" priority="38" operator="equal">
      <formula>"Y"</formula>
    </cfRule>
    <cfRule type="containsText" dxfId="70" priority="39" operator="containsText" text="N">
      <formula>NOT(ISERROR(SEARCH("N",F34)))</formula>
    </cfRule>
  </conditionalFormatting>
  <conditionalFormatting sqref="F37:F39">
    <cfRule type="cellIs" dxfId="69" priority="36" operator="equal">
      <formula>"Y"</formula>
    </cfRule>
    <cfRule type="containsText" dxfId="68" priority="37" operator="containsText" text="N">
      <formula>NOT(ISERROR(SEARCH("N",F37)))</formula>
    </cfRule>
  </conditionalFormatting>
  <conditionalFormatting sqref="F41:F42">
    <cfRule type="cellIs" dxfId="67" priority="34" operator="equal">
      <formula>"Y"</formula>
    </cfRule>
    <cfRule type="containsText" dxfId="66" priority="35" operator="containsText" text="N">
      <formula>NOT(ISERROR(SEARCH("N",F41)))</formula>
    </cfRule>
  </conditionalFormatting>
  <conditionalFormatting sqref="F44:F46">
    <cfRule type="cellIs" dxfId="65" priority="32" operator="equal">
      <formula>"Y"</formula>
    </cfRule>
    <cfRule type="containsText" dxfId="64" priority="33" operator="containsText" text="N">
      <formula>NOT(ISERROR(SEARCH("N",F44)))</formula>
    </cfRule>
  </conditionalFormatting>
  <conditionalFormatting sqref="F50 F52 F54 F56 F58">
    <cfRule type="cellIs" dxfId="63" priority="30" operator="equal">
      <formula>"Y"</formula>
    </cfRule>
    <cfRule type="containsText" dxfId="62" priority="31" operator="containsText" text="N">
      <formula>NOT(ISERROR(SEARCH("N",F50)))</formula>
    </cfRule>
  </conditionalFormatting>
  <conditionalFormatting sqref="F73 F70:F71 F66:F68 F64 F62">
    <cfRule type="cellIs" dxfId="61" priority="28" operator="equal">
      <formula>"Y"</formula>
    </cfRule>
    <cfRule type="containsText" dxfId="60" priority="29" operator="containsText" text="N">
      <formula>NOT(ISERROR(SEARCH("N",F62)))</formula>
    </cfRule>
  </conditionalFormatting>
  <conditionalFormatting sqref="J75:K75">
    <cfRule type="containsText" dxfId="59" priority="27" operator="containsText" text="Select Vehicle Type">
      <formula>NOT(ISERROR(SEARCH("Select Vehicle Type",J75)))</formula>
    </cfRule>
  </conditionalFormatting>
  <conditionalFormatting sqref="F75">
    <cfRule type="cellIs" dxfId="58" priority="25" operator="equal">
      <formula>"Y"</formula>
    </cfRule>
    <cfRule type="containsText" dxfId="57" priority="26" operator="containsText" text="N">
      <formula>NOT(ISERROR(SEARCH("N",F75)))</formula>
    </cfRule>
  </conditionalFormatting>
  <conditionalFormatting sqref="F79:F82">
    <cfRule type="cellIs" dxfId="56" priority="23" operator="equal">
      <formula>"Y"</formula>
    </cfRule>
    <cfRule type="containsText" dxfId="55" priority="24" operator="containsText" text="N">
      <formula>NOT(ISERROR(SEARCH("N",F79)))</formula>
    </cfRule>
  </conditionalFormatting>
  <conditionalFormatting sqref="F84:F87">
    <cfRule type="cellIs" dxfId="54" priority="21" operator="equal">
      <formula>"Y"</formula>
    </cfRule>
    <cfRule type="containsText" dxfId="53" priority="22" operator="containsText" text="N">
      <formula>NOT(ISERROR(SEARCH("N",F84)))</formula>
    </cfRule>
  </conditionalFormatting>
  <conditionalFormatting sqref="F89">
    <cfRule type="cellIs" dxfId="52" priority="19" operator="equal">
      <formula>"Y"</formula>
    </cfRule>
    <cfRule type="containsText" dxfId="51" priority="20" operator="containsText" text="N">
      <formula>NOT(ISERROR(SEARCH("N",F89)))</formula>
    </cfRule>
  </conditionalFormatting>
  <conditionalFormatting sqref="F93:F97">
    <cfRule type="cellIs" dxfId="50" priority="17" operator="equal">
      <formula>"Y"</formula>
    </cfRule>
    <cfRule type="containsText" dxfId="49" priority="18" operator="containsText" text="N">
      <formula>NOT(ISERROR(SEARCH("N",F93)))</formula>
    </cfRule>
  </conditionalFormatting>
  <conditionalFormatting sqref="F108:F111">
    <cfRule type="cellIs" dxfId="48" priority="15" operator="equal">
      <formula>"Y"</formula>
    </cfRule>
    <cfRule type="containsText" dxfId="47" priority="16" operator="containsText" text="N">
      <formula>NOT(ISERROR(SEARCH("N",F108)))</formula>
    </cfRule>
  </conditionalFormatting>
  <conditionalFormatting sqref="F113:F114">
    <cfRule type="cellIs" dxfId="46" priority="13" operator="equal">
      <formula>"Y"</formula>
    </cfRule>
    <cfRule type="containsText" dxfId="45" priority="14" operator="containsText" text="N">
      <formula>NOT(ISERROR(SEARCH("N",F113)))</formula>
    </cfRule>
  </conditionalFormatting>
  <conditionalFormatting sqref="F117">
    <cfRule type="cellIs" dxfId="44" priority="11" operator="equal">
      <formula>"Y"</formula>
    </cfRule>
    <cfRule type="containsText" dxfId="43" priority="12" operator="containsText" text="N">
      <formula>NOT(ISERROR(SEARCH("N",F117)))</formula>
    </cfRule>
  </conditionalFormatting>
  <conditionalFormatting sqref="F104">
    <cfRule type="cellIs" dxfId="42" priority="9" operator="equal">
      <formula>"Y"</formula>
    </cfRule>
    <cfRule type="containsText" dxfId="41" priority="10" operator="containsText" text="N">
      <formula>NOT(ISERROR(SEARCH("N",F104)))</formula>
    </cfRule>
  </conditionalFormatting>
  <conditionalFormatting sqref="D103">
    <cfRule type="cellIs" dxfId="40" priority="7" operator="equal">
      <formula>"FORM COMPLETED"</formula>
    </cfRule>
    <cfRule type="containsText" dxfId="39" priority="8" operator="containsText" text="COMPLETE">
      <formula>NOT(ISERROR(SEARCH("COMPLETE",D103)))</formula>
    </cfRule>
  </conditionalFormatting>
  <conditionalFormatting sqref="F7">
    <cfRule type="cellIs" dxfId="38" priority="5" operator="equal">
      <formula>"Y"</formula>
    </cfRule>
    <cfRule type="containsText" dxfId="37" priority="6" operator="containsText" text="N">
      <formula>NOT(ISERROR(SEARCH("N",F7)))</formula>
    </cfRule>
  </conditionalFormatting>
  <conditionalFormatting sqref="I85">
    <cfRule type="containsText" dxfId="36" priority="4" operator="containsText" text="Select Vehicle Type">
      <formula>NOT(ISERROR(SEARCH("Select Vehicle Type",I85)))</formula>
    </cfRule>
  </conditionalFormatting>
  <conditionalFormatting sqref="J80:K80">
    <cfRule type="containsText" dxfId="35" priority="3" operator="containsText" text="Select Vehicle Type">
      <formula>NOT(ISERROR(SEARCH("Select Vehicle Type",J80)))</formula>
    </cfRule>
  </conditionalFormatting>
  <conditionalFormatting sqref="I80">
    <cfRule type="containsText" dxfId="34" priority="2" operator="containsText" text="Select Vehicle Type">
      <formula>NOT(ISERROR(SEARCH("Select Vehicle Type",I80)))</formula>
    </cfRule>
  </conditionalFormatting>
  <conditionalFormatting sqref="L111">
    <cfRule type="containsText" dxfId="33" priority="1" operator="containsText" text="Select Vehicle Type">
      <formula>NOT(ISERROR(SEARCH("Select Vehicle Type",L111)))</formula>
    </cfRule>
  </conditionalFormatting>
  <dataValidations count="27">
    <dataValidation type="list" errorStyle="warning" showErrorMessage="1" errorTitle="Vehicle Activity" error="Select Vehicle Activity" sqref="D31">
      <formula1>INDIRECT($I$3)</formula1>
    </dataValidation>
    <dataValidation type="whole" errorStyle="warning" allowBlank="1" showErrorMessage="1" errorTitle="CRO Number" error="Number must be a whole number between 0 and 999,999" sqref="D9">
      <formula1>1</formula1>
      <formula2>999999</formula2>
    </dataValidation>
    <dataValidation type="textLength" allowBlank="1" showErrorMessage="1" error="Test length must be between 1 and 255 characters_x000a_" sqref="D5">
      <formula1>1</formula1>
      <formula2>255</formula2>
    </dataValidation>
    <dataValidation type="textLength" errorStyle="warning" operator="lessThanOrEqual" allowBlank="1" showInputMessage="1" showErrorMessage="1" errorTitle="Eircode" error="Remove any spaces from Eircode._x000a_Text must be between 0 and 7 characters in length." sqref="D18">
      <formula1>7</formula1>
    </dataValidation>
    <dataValidation type="whole" errorStyle="warning" operator="greaterThanOrEqual" allowBlank="1" showErrorMessage="1" errorTitle="Maximum Issuance Size" error="Numeric value in EUR Millions" sqref="D42">
      <formula1>0</formula1>
    </dataValidation>
    <dataValidation type="textLength" errorStyle="warning" operator="lessThanOrEqual" allowBlank="1" showErrorMessage="1" errorTitle="Nature of Securitisation - Desc." error="Please limit to less than or equal to 511 characters of text." sqref="D25">
      <formula1>511</formula1>
    </dataValidation>
    <dataValidation type="textLength" errorStyle="warning" operator="equal" allowBlank="1" showErrorMessage="1" errorTitle="Vehicle LEI Code" error="Valid LEI should be exactly 20 characters long." sqref="D7">
      <formula1>20</formula1>
    </dataValidation>
    <dataValidation type="whole" operator="greaterThanOrEqual" allowBlank="1" showInputMessage="1" showErrorMessage="1" sqref="D65">
      <formula1>1</formula1>
    </dataValidation>
    <dataValidation type="list" allowBlank="1" showInputMessage="1" showErrorMessage="1" sqref="D88 D112">
      <formula1>$E$3:$E$15</formula1>
    </dataValidation>
    <dataValidation type="date" errorStyle="warning" operator="greaterThan" allowBlank="1" showErrorMessage="1" errorTitle="Completion Date" error="Date must be greater than 01/01/2015" sqref="D93">
      <formula1>42005</formula1>
    </dataValidation>
    <dataValidation type="textLength" errorStyle="warning" operator="lessThan" allowBlank="1" showErrorMessage="1" errorTitle="Registered Office of Vehicle" error="Text must be less than or equal to 128 characters in length." sqref="D13">
      <formula1>128</formula1>
    </dataValidation>
    <dataValidation type="textLength" errorStyle="warning" operator="lessThanOrEqual" allowBlank="1" showInputMessage="1" showErrorMessage="1" errorTitle="AddressLine1" error="Text must be less than or equal to 128 characters in length." sqref="D14">
      <formula1>128</formula1>
    </dataValidation>
    <dataValidation type="textLength" errorStyle="warning" operator="lessThanOrEqual" allowBlank="1" showInputMessage="1" showErrorMessage="1" errorTitle="AddressLine2" error="Text must be less than or equal to 128 characters in length." sqref="D15">
      <formula1>128</formula1>
    </dataValidation>
    <dataValidation type="textLength" errorStyle="warning" operator="lessThanOrEqual" allowBlank="1" showInputMessage="1" showErrorMessage="1" errorTitle="AddressLine3" error="Text must less than or equal to 128 characters in length." sqref="D16">
      <formula1>128</formula1>
    </dataValidation>
    <dataValidation type="textLength" errorStyle="warning" operator="lessThanOrEqual" allowBlank="1" showInputMessage="1" showErrorMessage="1" errorTitle="County" error="Text must be less than or equal to 32 characters in length." sqref="D17">
      <formula1>32</formula1>
    </dataValidation>
    <dataValidation type="whole" errorStyle="warning" operator="greaterThanOrEqual" allowBlank="1" showInputMessage="1" showErrorMessage="1" errorTitle="First Report Asset Size" error="Numeric Value in EUR Millions" sqref="D41">
      <formula1>0</formula1>
    </dataValidation>
    <dataValidation type="textLength" errorStyle="warning" operator="lessThanOrEqual" allowBlank="1" showErrorMessage="1" errorTitle="Reprting Agent Name" error="Text should be less than or equal to 128 chracters in length." sqref="D79">
      <formula1>255</formula1>
    </dataValidation>
    <dataValidation type="textLength" errorStyle="warning" operator="lessThanOrEqual" allowBlank="1" showInputMessage="1" showErrorMessage="1" errorTitle="Reporting Agent - C Code" error="Text should be less than or equal to 7 characters in length." sqref="D80">
      <formula1>7</formula1>
    </dataValidation>
    <dataValidation type="textLength" errorStyle="warning" operator="lessThanOrEqual" allowBlank="1" showErrorMessage="1" errorTitle="Corporate Services Provider" error="Text should be less than or equal to 128 characters in length." sqref="D84">
      <formula1>128</formula1>
    </dataValidation>
    <dataValidation type="textLength" errorStyle="warning" operator="lessThanOrEqual" allowBlank="1" showInputMessage="1" showErrorMessage="1" errorTitle="Corporate Services Provider Code" error="Text should be less than or equal to 7 characters in length." sqref="D85">
      <formula1>7</formula1>
    </dataValidation>
    <dataValidation type="textLength" errorStyle="warning" operator="lessThanOrEqual" allowBlank="1" showErrorMessage="1" errorTitle="Completed By" error="Text must be less than or equla to 128 characters in length." sqref="D94">
      <formula1>128</formula1>
    </dataValidation>
    <dataValidation type="textLength" errorStyle="warning" operator="lessThanOrEqual" allowBlank="1" showErrorMessage="1" errorTitle="Company Name" error="Text must be less than or equla to 128 characters in length." sqref="D95">
      <formula1>128</formula1>
    </dataValidation>
    <dataValidation type="textLength" errorStyle="warning" operator="lessThanOrEqual" allowBlank="1" showErrorMessage="1" errorTitle="Contact E-mail Address" error="Text must be less than or equla to 128 characters in length." sqref="D96">
      <formula1>128</formula1>
    </dataValidation>
    <dataValidation type="whole" errorStyle="warning" operator="greaterThanOrEqual" allowBlank="1" showErrorMessage="1" errorTitle="Contact Telephone Number" error="Numbers Only - No Spaces_x000a__x000a_" sqref="D97">
      <formula1>0</formula1>
    </dataValidation>
    <dataValidation type="textLength" errorStyle="warning" operator="lessThanOrEqual" allowBlank="1" showInputMessage="1" showErrorMessage="1" errorTitle="Central Bank - C Code" error="Text should be less than or equal to 7 characters in length." sqref="D108">
      <formula1>7</formula1>
    </dataValidation>
    <dataValidation type="textLength" errorStyle="warning" operator="lessThanOrEqual" allowBlank="1" showInputMessage="1" showErrorMessage="1" errorTitle="Vehicle Activity Description" error="Please limit to less than or equal to 511 characters of text." sqref="D32 D56">
      <formula1>511</formula1>
    </dataValidation>
    <dataValidation type="list" showInputMessage="1" showErrorMessage="1" sqref="D59">
      <formula1>$U$3:$U$13</formula1>
    </dataValidation>
  </dataValidations>
  <hyperlinks>
    <hyperlink ref="L105" r:id="rId1"/>
  </hyperlinks>
  <pageMargins left="0.7" right="0.7" top="0.75" bottom="0.75" header="0.3" footer="0.3"/>
  <pageSetup paperSize="9" orientation="portrait" r:id="rId2"/>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extLst>
    <ext xmlns:x14="http://schemas.microsoft.com/office/spreadsheetml/2009/9/main" uri="{CCE6A557-97BC-4b89-ADB6-D9C93CAAB3DF}">
      <x14:dataValidations xmlns:xm="http://schemas.microsoft.com/office/excel/2006/main" count="26">
        <x14:dataValidation type="list" errorStyle="warning" allowBlank="1" showErrorMessage="1" errorTitle="First Reporting Quarter" error="Please Select">
          <x14:formula1>
            <xm:f>dates!$E$2:$E$85</xm:f>
          </x14:formula1>
          <xm:sqref>D81</xm:sqref>
        </x14:dataValidation>
        <x14:dataValidation type="list" errorStyle="warning" showErrorMessage="1" errorTitle="Reporting Status" error="Please Select">
          <x14:formula1>
            <xm:f>lists!$C$2:$C$4</xm:f>
          </x14:formula1>
          <xm:sqref>D109</xm:sqref>
        </x14:dataValidation>
        <x14:dataValidation type="list" errorStyle="warning" showErrorMessage="1" errorTitle="Certification" error="Please Select">
          <x14:formula1>
            <xm:f>lists!$C$2:$C$4</xm:f>
          </x14:formula1>
          <xm:sqref>D104</xm:sqref>
        </x14:dataValidation>
        <x14:dataValidation type="list" errorStyle="warning" showErrorMessage="1" errorTitle="NCI Disclosure" error="Please Select">
          <x14:formula1>
            <xm:f>lists!$C$2:$C$4</xm:f>
          </x14:formula1>
          <xm:sqref>D70</xm:sqref>
        </x14:dataValidation>
        <x14:dataValidation type="list" errorStyle="warning" showErrorMessage="1" errorTitle="Consolidation" error="Please Select">
          <x14:formula1>
            <xm:f>lists!$C$2:$C$4</xm:f>
          </x14:formula1>
          <xm:sqref>D66</xm:sqref>
        </x14:dataValidation>
        <x14:dataValidation type="list" errorStyle="warning" showErrorMessage="1" errorTitle="Debt Security Listing Status" error="Please Select">
          <x14:formula1>
            <xm:f>lists!$C$2:$C$4</xm:f>
          </x14:formula1>
          <xm:sqref>D45</xm:sqref>
        </x14:dataValidation>
        <x14:dataValidation type="list" errorStyle="warning" showErrorMessage="1" errorTitle="Debt Security Declaration" error="Please Select">
          <x14:formula1>
            <xm:f>lists!$C$2:$C$4</xm:f>
          </x14:formula1>
          <xm:sqref>D44</xm:sqref>
        </x14:dataValidation>
        <x14:dataValidation type="list" errorStyle="warning" showErrorMessage="1" errorTitle="Multi-Vehicle Structure" error="Please Select">
          <x14:formula1>
            <xm:f>lists!$C$2:$C$4</xm:f>
          </x14:formula1>
          <xm:sqref>D38</xm:sqref>
        </x14:dataValidation>
        <x14:dataValidation type="list" errorStyle="warning" showErrorMessage="1" errorTitle="Orphan Structure" error="Please Select">
          <x14:formula1>
            <xm:f>lists!$C$2:$C$4</xm:f>
          </x14:formula1>
          <xm:sqref>D37 D57 D50:D55</xm:sqref>
        </x14:dataValidation>
        <x14:dataValidation type="list" errorStyle="warning" showErrorMessage="1" errorTitle="MIV Declaration" error="Please Select">
          <x14:formula1>
            <xm:f>lists!$C$2:$C$4</xm:f>
          </x14:formula1>
          <xm:sqref>D29</xm:sqref>
        </x14:dataValidation>
        <x14:dataValidation type="list" errorStyle="warning" showErrorMessage="1" errorTitle="Section 110 Declaration" error="Please Select">
          <x14:formula1>
            <xm:f>lists!$C$2:$C$4</xm:f>
          </x14:formula1>
          <xm:sqref>D27</xm:sqref>
        </x14:dataValidation>
        <x14:dataValidation type="list" errorStyle="warning" showErrorMessage="1" errorTitle="Securitisation Declaration" error="Please Select">
          <x14:formula1>
            <xm:f>lists!$C$2:$C$4</xm:f>
          </x14:formula1>
          <xm:sqref>D23</xm:sqref>
        </x14:dataValidation>
        <x14:dataValidation type="list" errorStyle="warning" showErrorMessage="1" errorTitle="Legal Entity Type" error="Please Select">
          <x14:formula1>
            <xm:f>lists!$F$2:$F$4</xm:f>
          </x14:formula1>
          <xm:sqref>D3</xm:sqref>
        </x14:dataValidation>
        <x14:dataValidation type="list" errorStyle="warning" showErrorMessage="1" errorTitle="Company Type" error="Select Company Type">
          <x14:formula1>
            <xm:f>lists!$R$2:$R$17</xm:f>
          </x14:formula1>
          <xm:sqref>D11</xm:sqref>
        </x14:dataValidation>
        <x14:dataValidation type="list" errorStyle="warning" allowBlank="1" showErrorMessage="1" errorTitle="FVC: Nature of Securitisation" error="Please Select">
          <x14:formula1>
            <xm:f>lists!$P$2:$P$6</xm:f>
          </x14:formula1>
          <xm:sqref>D24</xm:sqref>
        </x14:dataValidation>
        <x14:dataValidation type="list" showInputMessage="1" showErrorMessage="1">
          <x14:formula1>
            <xm:f>lists!#REF!</xm:f>
          </x14:formula1>
          <xm:sqref>D49</xm:sqref>
        </x14:dataValidation>
        <x14:dataValidation type="list" allowBlank="1" showInputMessage="1" showErrorMessage="1">
          <x14:formula1>
            <xm:f>lists!$S$2:$S$249</xm:f>
          </x14:formula1>
          <xm:sqref>D19</xm:sqref>
        </x14:dataValidation>
        <x14:dataValidation type="list" errorStyle="warning" showErrorMessage="1" errorTitle="Deregistration / Revocation Type" error="Please Select">
          <x14:formula1>
            <xm:f>lists!$AC$2:$AC$5</xm:f>
          </x14:formula1>
          <xm:sqref>D113</xm:sqref>
        </x14:dataValidation>
        <x14:dataValidation type="list" errorStyle="warning" showErrorMessage="1" errorTitle="Accountancy Standard" error="Please Select">
          <x14:formula1>
            <xm:f>lists!$Q$2:$Q$18</xm:f>
          </x14:formula1>
          <xm:sqref>D67</xm:sqref>
        </x14:dataValidation>
        <x14:dataValidation type="list" errorStyle="warning" showErrorMessage="1" errorTitle="Single Multiple Originator" error="Please Select">
          <x14:formula1>
            <xm:f>lists!$B$2:$B$4</xm:f>
          </x14:formula1>
          <xm:sqref>D39</xm:sqref>
        </x14:dataValidation>
        <x14:dataValidation type="list" errorStyle="warning" allowBlank="1" showInputMessage="1" showErrorMessage="1" errorTitle="Vehicle Currency" error="Please Select">
          <x14:formula1>
            <xm:f>lists!$N$2:$N$167</xm:f>
          </x14:formula1>
          <xm:sqref>D34</xm:sqref>
        </x14:dataValidation>
        <x14:dataValidation type="list" errorStyle="warning" showErrorMessage="1" errorTitle="Debt Security Primary Location" error="Please Select">
          <x14:formula1>
            <xm:f>lists!$W$2:$W$13</xm:f>
          </x14:formula1>
          <xm:sqref>D46:D47</xm:sqref>
        </x14:dataValidation>
        <x14:dataValidation type="list" errorStyle="warning" showErrorMessage="1" errorTitle="Dereg / Revocation Reason" error="Please Select">
          <x14:formula1>
            <xm:f>lists!$AD$2:$AD$26</xm:f>
          </x14:formula1>
          <xm:sqref>D114</xm:sqref>
        </x14:dataValidation>
        <x14:dataValidation type="list" errorStyle="warning" allowBlank="1" showErrorMessage="1" errorTitle="Last Reporting Quarter" error="Please Select">
          <x14:formula1>
            <xm:f>dates!$E$2:$E$85</xm:f>
          </x14:formula1>
          <xm:sqref>D82</xm:sqref>
        </x14:dataValidation>
        <x14:dataValidation type="list" errorStyle="warning" allowBlank="1" showErrorMessage="1" errorTitle="First Reporting Quarter" error="Please Select">
          <x14:formula1>
            <xm:f>dates!$E$2:$E$85</xm:f>
          </x14:formula1>
          <xm:sqref>D110 D86</xm:sqref>
        </x14:dataValidation>
        <x14:dataValidation type="list" errorStyle="warning" allowBlank="1" showErrorMessage="1" errorTitle="Last Reporting Quarter" error="Please Select">
          <x14:formula1>
            <xm:f>dates!$E$2:$E$85</xm:f>
          </x14:formula1>
          <xm:sqref>D111 D87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tint="-4.9989318521683403E-2"/>
    <pageSetUpPr autoPageBreaks="0"/>
  </sheetPr>
  <dimension ref="A1:M634"/>
  <sheetViews>
    <sheetView showGridLines="0" workbookViewId="0">
      <pane ySplit="1" topLeftCell="A2" activePane="bottomLeft" state="frozen"/>
      <selection activeCell="A53" sqref="A53:XFD1048576"/>
      <selection pane="bottomLeft" activeCell="B2" sqref="B2"/>
    </sheetView>
  </sheetViews>
  <sheetFormatPr defaultColWidth="0" defaultRowHeight="0" customHeight="1" zeroHeight="1" x14ac:dyDescent="0.25"/>
  <cols>
    <col min="1" max="2" width="15.6640625" customWidth="1"/>
    <col min="3" max="3" width="18.44140625" bestFit="1" customWidth="1"/>
    <col min="4" max="4" width="15.6640625" customWidth="1"/>
    <col min="5" max="5" width="30.6640625" customWidth="1"/>
    <col min="6" max="6" width="15.6640625" customWidth="1"/>
    <col min="7" max="7" width="8.33203125" customWidth="1"/>
    <col min="8" max="8" width="40.6640625" customWidth="1"/>
    <col min="9" max="9" width="20.6640625" customWidth="1"/>
    <col min="10" max="11" width="10.6640625" customWidth="1"/>
    <col min="12" max="12" width="40.6640625" customWidth="1"/>
    <col min="13" max="13" width="15.6640625" customWidth="1"/>
    <col min="14" max="16384" width="9.109375" hidden="1"/>
  </cols>
  <sheetData>
    <row r="1" spans="1:13" ht="21" customHeight="1" x14ac:dyDescent="0.25">
      <c r="A1" s="177" t="s">
        <v>1380</v>
      </c>
      <c r="B1" s="349" t="s">
        <v>1381</v>
      </c>
      <c r="C1" s="350" t="s">
        <v>1337</v>
      </c>
      <c r="D1" s="350" t="s">
        <v>1392</v>
      </c>
      <c r="E1" s="350" t="s">
        <v>1382</v>
      </c>
      <c r="F1" s="349" t="s">
        <v>1389</v>
      </c>
      <c r="G1" s="351" t="s">
        <v>1383</v>
      </c>
      <c r="H1" s="133" t="s">
        <v>1205</v>
      </c>
      <c r="I1" s="133" t="s">
        <v>1</v>
      </c>
      <c r="J1" s="133" t="s">
        <v>7</v>
      </c>
      <c r="K1" s="133" t="s">
        <v>8</v>
      </c>
      <c r="L1" s="133" t="s">
        <v>9</v>
      </c>
      <c r="M1" s="133" t="s">
        <v>10</v>
      </c>
    </row>
    <row r="2" spans="1:13" ht="10.5" customHeight="1" x14ac:dyDescent="0.25">
      <c r="A2" s="503" t="str">
        <f>spe_sponsor!A2</f>
        <v/>
      </c>
      <c r="B2" s="254" t="str">
        <f>IF($A2="spe_sponsor",spe_db_register!$D$6,"")</f>
        <v/>
      </c>
      <c r="C2" s="430" t="str">
        <f>IF($A2="spe_sponsor",spe_db_register!$D$7,"")</f>
        <v/>
      </c>
      <c r="D2" s="430" t="str">
        <f>IF($A2="spe_sponsor",spe_db_register!$D$8,"")</f>
        <v/>
      </c>
      <c r="E2" s="444" t="str">
        <f>IF($A2="spe_sponsor",spe_db_register!$D$9,"")</f>
        <v/>
      </c>
      <c r="F2" s="310" t="str">
        <f>IF($A2="spe_sponsor",spe_db_register!$D$11,"")</f>
        <v/>
      </c>
      <c r="G2" s="281" t="str">
        <f>spe_sponsor!D2</f>
        <v/>
      </c>
      <c r="H2" s="295" t="str">
        <f>LEFT(T(spe_sponsor!E2),255)</f>
        <v/>
      </c>
      <c r="I2" s="295" t="str">
        <f>LEFT(T(spe_sponsor!F2),20)</f>
        <v/>
      </c>
      <c r="J2" s="143" t="str">
        <f>LEFT(spe_sponsor!G2,2)</f>
        <v/>
      </c>
      <c r="K2" s="143" t="str">
        <f>TRIM(LEFT(spe_sponsor!H2,3))</f>
        <v/>
      </c>
      <c r="L2" s="504"/>
      <c r="M2" s="505"/>
    </row>
    <row r="3" spans="1:13" ht="10.5" customHeight="1" x14ac:dyDescent="0.25">
      <c r="A3" s="503" t="str">
        <f>spe_sponsor!A3</f>
        <v/>
      </c>
      <c r="B3" s="254" t="str">
        <f>IF($A3="spe_sponsor",spe_db_register!$D$6,"")</f>
        <v/>
      </c>
      <c r="C3" s="255" t="str">
        <f>IF($A3="spe_sponsor",spe_db_register!$D$7,"")</f>
        <v/>
      </c>
      <c r="D3" s="430" t="str">
        <f>IF($A3="spe_sponsor",spe_db_register!$D$8,"")</f>
        <v/>
      </c>
      <c r="E3" s="256" t="str">
        <f>IF($A3="spe_sponsor",spe_db_register!$D$9,"")</f>
        <v/>
      </c>
      <c r="F3" s="310" t="str">
        <f>IF($A3="spe_sponsor",spe_db_register!$D$11,"")</f>
        <v/>
      </c>
      <c r="G3" s="281" t="str">
        <f>spe_sponsor!D3</f>
        <v/>
      </c>
      <c r="H3" s="295" t="str">
        <f>LEFT(T(spe_sponsor!E3),255)</f>
        <v/>
      </c>
      <c r="I3" s="295" t="str">
        <f>LEFT(T(spe_sponsor!F3),20)</f>
        <v/>
      </c>
      <c r="J3" s="143" t="str">
        <f>LEFT(spe_sponsor!G3,2)</f>
        <v/>
      </c>
      <c r="K3" s="143" t="str">
        <f>TRIM(LEFT(spe_sponsor!H3,3))</f>
        <v/>
      </c>
      <c r="L3" s="504"/>
      <c r="M3" s="505"/>
    </row>
    <row r="4" spans="1:13" ht="10.5" customHeight="1" x14ac:dyDescent="0.25">
      <c r="A4" s="503" t="str">
        <f>spe_sponsor!A4</f>
        <v/>
      </c>
      <c r="B4" s="254" t="str">
        <f>IF($A4="spe_sponsor",spe_db_register!$D$6,"")</f>
        <v/>
      </c>
      <c r="C4" s="255" t="str">
        <f>IF($A4="spe_sponsor",spe_db_register!$D$7,"")</f>
        <v/>
      </c>
      <c r="D4" s="430" t="str">
        <f>IF($A4="spe_sponsor",spe_db_register!$D$8,"")</f>
        <v/>
      </c>
      <c r="E4" s="256" t="str">
        <f>IF($A4="spe_sponsor",spe_db_register!$D$9,"")</f>
        <v/>
      </c>
      <c r="F4" s="310" t="str">
        <f>IF($A4="spe_sponsor",spe_db_register!$D$11,"")</f>
        <v/>
      </c>
      <c r="G4" s="281" t="str">
        <f>spe_sponsor!D4</f>
        <v/>
      </c>
      <c r="H4" s="295" t="str">
        <f>LEFT(T(spe_sponsor!E4),255)</f>
        <v/>
      </c>
      <c r="I4" s="295" t="str">
        <f>LEFT(T(spe_sponsor!F4),20)</f>
        <v/>
      </c>
      <c r="J4" s="143" t="str">
        <f>LEFT(spe_sponsor!G4,2)</f>
        <v/>
      </c>
      <c r="K4" s="143" t="str">
        <f>TRIM(LEFT(spe_sponsor!H4,3))</f>
        <v/>
      </c>
      <c r="L4" s="504"/>
      <c r="M4" s="505"/>
    </row>
    <row r="5" spans="1:13" ht="10.5" customHeight="1" x14ac:dyDescent="0.25">
      <c r="A5" s="503" t="str">
        <f>spe_sponsor!A5</f>
        <v/>
      </c>
      <c r="B5" s="254" t="str">
        <f>IF($A5="spe_sponsor",spe_db_register!$D$6,"")</f>
        <v/>
      </c>
      <c r="C5" s="255" t="str">
        <f>IF($A5="spe_sponsor",spe_db_register!$D$7,"")</f>
        <v/>
      </c>
      <c r="D5" s="430" t="str">
        <f>IF($A5="spe_sponsor",spe_db_register!$D$8,"")</f>
        <v/>
      </c>
      <c r="E5" s="256" t="str">
        <f>IF($A5="spe_sponsor",spe_db_register!$D$9,"")</f>
        <v/>
      </c>
      <c r="F5" s="310" t="str">
        <f>IF($A5="spe_sponsor",spe_db_register!$D$11,"")</f>
        <v/>
      </c>
      <c r="G5" s="281" t="str">
        <f>spe_sponsor!D5</f>
        <v/>
      </c>
      <c r="H5" s="295" t="str">
        <f>LEFT(T(spe_sponsor!E5),255)</f>
        <v/>
      </c>
      <c r="I5" s="295" t="str">
        <f>LEFT(T(spe_sponsor!F5),20)</f>
        <v/>
      </c>
      <c r="J5" s="143" t="str">
        <f>LEFT(spe_sponsor!G5,2)</f>
        <v/>
      </c>
      <c r="K5" s="143" t="str">
        <f>TRIM(LEFT(spe_sponsor!H5,3))</f>
        <v/>
      </c>
      <c r="L5" s="504"/>
      <c r="M5" s="505"/>
    </row>
    <row r="6" spans="1:13" ht="10.5" customHeight="1" x14ac:dyDescent="0.25">
      <c r="A6" s="503" t="str">
        <f>spe_sponsor!A6</f>
        <v/>
      </c>
      <c r="B6" s="254" t="str">
        <f>IF($A6="spe_sponsor",spe_db_register!$D$6,"")</f>
        <v/>
      </c>
      <c r="C6" s="255" t="str">
        <f>IF($A6="spe_sponsor",spe_db_register!$D$7,"")</f>
        <v/>
      </c>
      <c r="D6" s="430" t="str">
        <f>IF($A6="spe_sponsor",spe_db_register!$D$8,"")</f>
        <v/>
      </c>
      <c r="E6" s="256" t="str">
        <f>IF($A6="spe_sponsor",spe_db_register!$D$9,"")</f>
        <v/>
      </c>
      <c r="F6" s="310" t="str">
        <f>IF($A6="spe_sponsor",spe_db_register!$D$11,"")</f>
        <v/>
      </c>
      <c r="G6" s="281" t="str">
        <f>spe_sponsor!D6</f>
        <v/>
      </c>
      <c r="H6" s="295" t="str">
        <f>LEFT(T(spe_sponsor!E6),255)</f>
        <v/>
      </c>
      <c r="I6" s="295" t="str">
        <f>LEFT(T(spe_sponsor!F6),20)</f>
        <v/>
      </c>
      <c r="J6" s="143" t="str">
        <f>LEFT(spe_sponsor!G6,2)</f>
        <v/>
      </c>
      <c r="K6" s="143" t="str">
        <f>TRIM(LEFT(spe_sponsor!H6,3))</f>
        <v/>
      </c>
      <c r="L6" s="504"/>
      <c r="M6" s="505"/>
    </row>
    <row r="7" spans="1:13" ht="10.5" customHeight="1" x14ac:dyDescent="0.25">
      <c r="A7" s="503" t="str">
        <f>spe_sponsor!A7</f>
        <v/>
      </c>
      <c r="B7" s="254" t="str">
        <f>IF($A7="spe_sponsor",spe_db_register!$D$6,"")</f>
        <v/>
      </c>
      <c r="C7" s="255" t="str">
        <f>IF($A7="spe_sponsor",spe_db_register!$D$7,"")</f>
        <v/>
      </c>
      <c r="D7" s="430" t="str">
        <f>IF($A7="spe_sponsor",spe_db_register!$D$8,"")</f>
        <v/>
      </c>
      <c r="E7" s="256" t="str">
        <f>IF($A7="spe_sponsor",spe_db_register!$D$9,"")</f>
        <v/>
      </c>
      <c r="F7" s="310" t="str">
        <f>IF($A7="spe_sponsor",spe_db_register!$D$11,"")</f>
        <v/>
      </c>
      <c r="G7" s="281" t="str">
        <f>spe_sponsor!D7</f>
        <v/>
      </c>
      <c r="H7" s="295" t="str">
        <f>LEFT(T(spe_sponsor!E7),255)</f>
        <v/>
      </c>
      <c r="I7" s="295" t="str">
        <f>LEFT(T(spe_sponsor!F7),20)</f>
        <v/>
      </c>
      <c r="J7" s="143" t="str">
        <f>LEFT(spe_sponsor!G7,2)</f>
        <v/>
      </c>
      <c r="K7" s="143" t="str">
        <f>TRIM(LEFT(spe_sponsor!H7,3))</f>
        <v/>
      </c>
      <c r="L7" s="504"/>
      <c r="M7" s="505"/>
    </row>
    <row r="8" spans="1:13" ht="10.5" customHeight="1" x14ac:dyDescent="0.25">
      <c r="A8" s="503" t="str">
        <f>spe_sponsor!A8</f>
        <v/>
      </c>
      <c r="B8" s="254" t="str">
        <f>IF($A8="spe_sponsor",spe_db_register!$D$6,"")</f>
        <v/>
      </c>
      <c r="C8" s="255" t="str">
        <f>IF($A8="spe_sponsor",spe_db_register!$D$7,"")</f>
        <v/>
      </c>
      <c r="D8" s="430" t="str">
        <f>IF($A8="spe_sponsor",spe_db_register!$D$8,"")</f>
        <v/>
      </c>
      <c r="E8" s="256" t="str">
        <f>IF($A8="spe_sponsor",spe_db_register!$D$9,"")</f>
        <v/>
      </c>
      <c r="F8" s="310" t="str">
        <f>IF($A8="spe_sponsor",spe_db_register!$D$11,"")</f>
        <v/>
      </c>
      <c r="G8" s="281" t="str">
        <f>spe_sponsor!D8</f>
        <v/>
      </c>
      <c r="H8" s="295" t="str">
        <f>LEFT(T(spe_sponsor!E8),255)</f>
        <v/>
      </c>
      <c r="I8" s="295" t="str">
        <f>LEFT(T(spe_sponsor!F8),20)</f>
        <v/>
      </c>
      <c r="J8" s="143" t="str">
        <f>LEFT(spe_sponsor!G8,2)</f>
        <v/>
      </c>
      <c r="K8" s="143" t="str">
        <f>TRIM(LEFT(spe_sponsor!H8,3))</f>
        <v/>
      </c>
      <c r="L8" s="504"/>
      <c r="M8" s="505"/>
    </row>
    <row r="9" spans="1:13" ht="10.5" customHeight="1" x14ac:dyDescent="0.25">
      <c r="A9" s="503" t="str">
        <f>spe_sponsor!A9</f>
        <v/>
      </c>
      <c r="B9" s="254" t="str">
        <f>IF($A9="spe_sponsor",spe_db_register!$D$6,"")</f>
        <v/>
      </c>
      <c r="C9" s="255" t="str">
        <f>IF($A9="spe_sponsor",spe_db_register!$D$7,"")</f>
        <v/>
      </c>
      <c r="D9" s="430" t="str">
        <f>IF($A9="spe_sponsor",spe_db_register!$D$8,"")</f>
        <v/>
      </c>
      <c r="E9" s="256" t="str">
        <f>IF($A9="spe_sponsor",spe_db_register!$D$9,"")</f>
        <v/>
      </c>
      <c r="F9" s="310" t="str">
        <f>IF($A9="spe_sponsor",spe_db_register!$D$11,"")</f>
        <v/>
      </c>
      <c r="G9" s="281" t="str">
        <f>spe_sponsor!D9</f>
        <v/>
      </c>
      <c r="H9" s="295" t="str">
        <f>LEFT(T(spe_sponsor!E9),255)</f>
        <v/>
      </c>
      <c r="I9" s="295" t="str">
        <f>LEFT(T(spe_sponsor!F9),20)</f>
        <v/>
      </c>
      <c r="J9" s="143" t="str">
        <f>LEFT(spe_sponsor!G9,2)</f>
        <v/>
      </c>
      <c r="K9" s="143" t="str">
        <f>TRIM(LEFT(spe_sponsor!H9,3))</f>
        <v/>
      </c>
      <c r="L9" s="504"/>
      <c r="M9" s="505"/>
    </row>
    <row r="10" spans="1:13" ht="10.5" customHeight="1" x14ac:dyDescent="0.25">
      <c r="A10" s="503" t="str">
        <f>spe_sponsor!A10</f>
        <v/>
      </c>
      <c r="B10" s="254" t="str">
        <f>IF($A10="spe_sponsor",spe_db_register!$D$6,"")</f>
        <v/>
      </c>
      <c r="C10" s="255" t="str">
        <f>IF($A10="spe_sponsor",spe_db_register!$D$7,"")</f>
        <v/>
      </c>
      <c r="D10" s="430" t="str">
        <f>IF($A10="spe_sponsor",spe_db_register!$D$8,"")</f>
        <v/>
      </c>
      <c r="E10" s="256" t="str">
        <f>IF($A10="spe_sponsor",spe_db_register!$D$9,"")</f>
        <v/>
      </c>
      <c r="F10" s="310" t="str">
        <f>IF($A10="spe_sponsor",spe_db_register!$D$11,"")</f>
        <v/>
      </c>
      <c r="G10" s="281" t="str">
        <f>spe_sponsor!D10</f>
        <v/>
      </c>
      <c r="H10" s="295" t="str">
        <f>LEFT(T(spe_sponsor!E10),255)</f>
        <v/>
      </c>
      <c r="I10" s="295" t="str">
        <f>LEFT(T(spe_sponsor!F10),20)</f>
        <v/>
      </c>
      <c r="J10" s="143" t="str">
        <f>LEFT(spe_sponsor!G10,2)</f>
        <v/>
      </c>
      <c r="K10" s="143" t="str">
        <f>TRIM(LEFT(spe_sponsor!H10,3))</f>
        <v/>
      </c>
      <c r="L10" s="504"/>
      <c r="M10" s="505"/>
    </row>
    <row r="11" spans="1:13" ht="10.5" customHeight="1" x14ac:dyDescent="0.25">
      <c r="A11" s="503" t="str">
        <f>spe_sponsor!A11</f>
        <v/>
      </c>
      <c r="B11" s="254" t="str">
        <f>IF($A11="spe_sponsor",spe_db_register!$D$6,"")</f>
        <v/>
      </c>
      <c r="C11" s="255" t="str">
        <f>IF($A11="spe_sponsor",spe_db_register!$D$7,"")</f>
        <v/>
      </c>
      <c r="D11" s="430" t="str">
        <f>IF($A11="spe_sponsor",spe_db_register!$D$8,"")</f>
        <v/>
      </c>
      <c r="E11" s="256" t="str">
        <f>IF($A11="spe_sponsor",spe_db_register!$D$9,"")</f>
        <v/>
      </c>
      <c r="F11" s="310" t="str">
        <f>IF($A11="spe_sponsor",spe_db_register!$D$11,"")</f>
        <v/>
      </c>
      <c r="G11" s="281" t="str">
        <f>spe_sponsor!D11</f>
        <v/>
      </c>
      <c r="H11" s="295" t="str">
        <f>LEFT(T(spe_sponsor!E11),255)</f>
        <v/>
      </c>
      <c r="I11" s="295" t="str">
        <f>LEFT(T(spe_sponsor!F11),20)</f>
        <v/>
      </c>
      <c r="J11" s="143" t="str">
        <f>LEFT(spe_sponsor!G11,2)</f>
        <v/>
      </c>
      <c r="K11" s="143" t="str">
        <f>TRIM(LEFT(spe_sponsor!H11,3))</f>
        <v/>
      </c>
      <c r="L11" s="504"/>
      <c r="M11" s="505"/>
    </row>
    <row r="12" spans="1:13" ht="10.5" customHeight="1" x14ac:dyDescent="0.25">
      <c r="A12" s="503" t="str">
        <f>spe_sponsor!A12</f>
        <v/>
      </c>
      <c r="B12" s="254" t="str">
        <f>IF($A12="spe_sponsor",spe_db_register!$D$6,"")</f>
        <v/>
      </c>
      <c r="C12" s="255" t="str">
        <f>IF($A12="spe_sponsor",spe_db_register!$D$7,"")</f>
        <v/>
      </c>
      <c r="D12" s="430" t="str">
        <f>IF($A12="spe_sponsor",spe_db_register!$D$8,"")</f>
        <v/>
      </c>
      <c r="E12" s="256" t="str">
        <f>IF($A12="spe_sponsor",spe_db_register!$D$9,"")</f>
        <v/>
      </c>
      <c r="F12" s="310" t="str">
        <f>IF($A12="spe_sponsor",spe_db_register!$D$11,"")</f>
        <v/>
      </c>
      <c r="G12" s="281" t="str">
        <f>spe_sponsor!D12</f>
        <v/>
      </c>
      <c r="H12" s="295" t="str">
        <f>LEFT(T(spe_sponsor!E12),255)</f>
        <v/>
      </c>
      <c r="I12" s="295" t="str">
        <f>LEFT(T(spe_sponsor!F12),20)</f>
        <v/>
      </c>
      <c r="J12" s="143" t="str">
        <f>LEFT(spe_sponsor!G12,2)</f>
        <v/>
      </c>
      <c r="K12" s="143" t="str">
        <f>TRIM(LEFT(spe_sponsor!H12,3))</f>
        <v/>
      </c>
      <c r="L12" s="504"/>
      <c r="M12" s="505"/>
    </row>
    <row r="13" spans="1:13" ht="10.5" customHeight="1" x14ac:dyDescent="0.25">
      <c r="A13" s="503" t="str">
        <f>spe_sponsor!A13</f>
        <v/>
      </c>
      <c r="B13" s="254" t="str">
        <f>IF($A13="spe_sponsor",spe_db_register!$D$6,"")</f>
        <v/>
      </c>
      <c r="C13" s="255" t="str">
        <f>IF($A13="spe_sponsor",spe_db_register!$D$7,"")</f>
        <v/>
      </c>
      <c r="D13" s="430" t="str">
        <f>IF($A13="spe_sponsor",spe_db_register!$D$8,"")</f>
        <v/>
      </c>
      <c r="E13" s="256" t="str">
        <f>IF($A13="spe_sponsor",spe_db_register!$D$9,"")</f>
        <v/>
      </c>
      <c r="F13" s="310" t="str">
        <f>IF($A13="spe_sponsor",spe_db_register!$D$11,"")</f>
        <v/>
      </c>
      <c r="G13" s="281" t="str">
        <f>spe_sponsor!D13</f>
        <v/>
      </c>
      <c r="H13" s="295" t="str">
        <f>LEFT(T(spe_sponsor!E13),255)</f>
        <v/>
      </c>
      <c r="I13" s="295" t="str">
        <f>LEFT(T(spe_sponsor!F13),20)</f>
        <v/>
      </c>
      <c r="J13" s="143" t="str">
        <f>LEFT(spe_sponsor!G13,2)</f>
        <v/>
      </c>
      <c r="K13" s="143" t="str">
        <f>TRIM(LEFT(spe_sponsor!H13,3))</f>
        <v/>
      </c>
      <c r="L13" s="504"/>
      <c r="M13" s="505"/>
    </row>
    <row r="14" spans="1:13" ht="10.5" customHeight="1" x14ac:dyDescent="0.25">
      <c r="A14" s="503" t="str">
        <f>spe_sponsor!A14</f>
        <v/>
      </c>
      <c r="B14" s="254" t="str">
        <f>IF($A14="spe_sponsor",spe_db_register!$D$6,"")</f>
        <v/>
      </c>
      <c r="C14" s="255" t="str">
        <f>IF($A14="spe_sponsor",spe_db_register!$D$7,"")</f>
        <v/>
      </c>
      <c r="D14" s="430" t="str">
        <f>IF($A14="spe_sponsor",spe_db_register!$D$8,"")</f>
        <v/>
      </c>
      <c r="E14" s="256" t="str">
        <f>IF($A14="spe_sponsor",spe_db_register!$D$9,"")</f>
        <v/>
      </c>
      <c r="F14" s="310" t="str">
        <f>IF($A14="spe_sponsor",spe_db_register!$D$11,"")</f>
        <v/>
      </c>
      <c r="G14" s="281" t="str">
        <f>spe_sponsor!D14</f>
        <v/>
      </c>
      <c r="H14" s="295" t="str">
        <f>LEFT(T(spe_sponsor!E14),255)</f>
        <v/>
      </c>
      <c r="I14" s="295" t="str">
        <f>LEFT(T(spe_sponsor!F14),20)</f>
        <v/>
      </c>
      <c r="J14" s="143" t="str">
        <f>LEFT(spe_sponsor!G14,2)</f>
        <v/>
      </c>
      <c r="K14" s="143" t="str">
        <f>TRIM(LEFT(spe_sponsor!H14,3))</f>
        <v/>
      </c>
      <c r="L14" s="504"/>
      <c r="M14" s="505"/>
    </row>
    <row r="15" spans="1:13" ht="10.5" customHeight="1" x14ac:dyDescent="0.25">
      <c r="A15" s="503" t="str">
        <f>spe_sponsor!A15</f>
        <v/>
      </c>
      <c r="B15" s="254" t="str">
        <f>IF($A15="spe_sponsor",spe_db_register!$D$6,"")</f>
        <v/>
      </c>
      <c r="C15" s="255" t="str">
        <f>IF($A15="spe_sponsor",spe_db_register!$D$7,"")</f>
        <v/>
      </c>
      <c r="D15" s="430" t="str">
        <f>IF($A15="spe_sponsor",spe_db_register!$D$8,"")</f>
        <v/>
      </c>
      <c r="E15" s="256" t="str">
        <f>IF($A15="spe_sponsor",spe_db_register!$D$9,"")</f>
        <v/>
      </c>
      <c r="F15" s="310" t="str">
        <f>IF($A15="spe_sponsor",spe_db_register!$D$11,"")</f>
        <v/>
      </c>
      <c r="G15" s="281" t="str">
        <f>spe_sponsor!D15</f>
        <v/>
      </c>
      <c r="H15" s="295" t="str">
        <f>LEFT(T(spe_sponsor!E15),255)</f>
        <v/>
      </c>
      <c r="I15" s="295" t="str">
        <f>LEFT(T(spe_sponsor!F15),20)</f>
        <v/>
      </c>
      <c r="J15" s="143" t="str">
        <f>LEFT(spe_sponsor!G15,2)</f>
        <v/>
      </c>
      <c r="K15" s="143" t="str">
        <f>TRIM(LEFT(spe_sponsor!H15,3))</f>
        <v/>
      </c>
      <c r="L15" s="504"/>
      <c r="M15" s="505"/>
    </row>
    <row r="16" spans="1:13" ht="10.5" customHeight="1" x14ac:dyDescent="0.25">
      <c r="A16" s="503" t="str">
        <f>spe_sponsor!A16</f>
        <v/>
      </c>
      <c r="B16" s="254" t="str">
        <f>IF($A16="spe_sponsor",spe_db_register!$D$6,"")</f>
        <v/>
      </c>
      <c r="C16" s="255" t="str">
        <f>IF($A16="spe_sponsor",spe_db_register!$D$7,"")</f>
        <v/>
      </c>
      <c r="D16" s="430" t="str">
        <f>IF($A16="spe_sponsor",spe_db_register!$D$8,"")</f>
        <v/>
      </c>
      <c r="E16" s="256" t="str">
        <f>IF($A16="spe_sponsor",spe_db_register!$D$9,"")</f>
        <v/>
      </c>
      <c r="F16" s="310" t="str">
        <f>IF($A16="spe_sponsor",spe_db_register!$D$11,"")</f>
        <v/>
      </c>
      <c r="G16" s="281" t="str">
        <f>spe_sponsor!D16</f>
        <v/>
      </c>
      <c r="H16" s="295" t="str">
        <f>LEFT(T(spe_sponsor!E16),255)</f>
        <v/>
      </c>
      <c r="I16" s="295" t="str">
        <f>LEFT(T(spe_sponsor!F16),20)</f>
        <v/>
      </c>
      <c r="J16" s="143" t="str">
        <f>LEFT(spe_sponsor!G16,2)</f>
        <v/>
      </c>
      <c r="K16" s="143" t="str">
        <f>TRIM(LEFT(spe_sponsor!H16,3))</f>
        <v/>
      </c>
      <c r="L16" s="504"/>
      <c r="M16" s="505"/>
    </row>
    <row r="17" spans="1:13" ht="10.5" customHeight="1" x14ac:dyDescent="0.25">
      <c r="A17" s="503" t="str">
        <f>spe_sponsor!A17</f>
        <v/>
      </c>
      <c r="B17" s="254" t="str">
        <f>IF($A17="spe_sponsor",spe_db_register!$D$6,"")</f>
        <v/>
      </c>
      <c r="C17" s="255" t="str">
        <f>IF($A17="spe_sponsor",spe_db_register!$D$7,"")</f>
        <v/>
      </c>
      <c r="D17" s="430" t="str">
        <f>IF($A17="spe_sponsor",spe_db_register!$D$8,"")</f>
        <v/>
      </c>
      <c r="E17" s="256" t="str">
        <f>IF($A17="spe_sponsor",spe_db_register!$D$9,"")</f>
        <v/>
      </c>
      <c r="F17" s="310" t="str">
        <f>IF($A17="spe_sponsor",spe_db_register!$D$11,"")</f>
        <v/>
      </c>
      <c r="G17" s="281" t="str">
        <f>spe_sponsor!D17</f>
        <v/>
      </c>
      <c r="H17" s="295" t="str">
        <f>LEFT(T(spe_sponsor!E17),255)</f>
        <v/>
      </c>
      <c r="I17" s="295" t="str">
        <f>LEFT(T(spe_sponsor!F17),20)</f>
        <v/>
      </c>
      <c r="J17" s="143" t="str">
        <f>LEFT(spe_sponsor!G17,2)</f>
        <v/>
      </c>
      <c r="K17" s="143" t="str">
        <f>TRIM(LEFT(spe_sponsor!H17,3))</f>
        <v/>
      </c>
      <c r="L17" s="504"/>
      <c r="M17" s="505"/>
    </row>
    <row r="18" spans="1:13" ht="10.5" customHeight="1" x14ac:dyDescent="0.25">
      <c r="A18" s="503" t="str">
        <f>spe_sponsor!A18</f>
        <v/>
      </c>
      <c r="B18" s="254" t="str">
        <f>IF($A18="spe_sponsor",spe_db_register!$D$6,"")</f>
        <v/>
      </c>
      <c r="C18" s="255" t="str">
        <f>IF($A18="spe_sponsor",spe_db_register!$D$7,"")</f>
        <v/>
      </c>
      <c r="D18" s="430" t="str">
        <f>IF($A18="spe_sponsor",spe_db_register!$D$8,"")</f>
        <v/>
      </c>
      <c r="E18" s="256" t="str">
        <f>IF($A18="spe_sponsor",spe_db_register!$D$9,"")</f>
        <v/>
      </c>
      <c r="F18" s="310" t="str">
        <f>IF($A18="spe_sponsor",spe_db_register!$D$11,"")</f>
        <v/>
      </c>
      <c r="G18" s="281" t="str">
        <f>spe_sponsor!D18</f>
        <v/>
      </c>
      <c r="H18" s="295" t="str">
        <f>LEFT(T(spe_sponsor!E18),255)</f>
        <v/>
      </c>
      <c r="I18" s="295" t="str">
        <f>LEFT(T(spe_sponsor!F18),20)</f>
        <v/>
      </c>
      <c r="J18" s="143" t="str">
        <f>LEFT(spe_sponsor!G18,2)</f>
        <v/>
      </c>
      <c r="K18" s="143" t="str">
        <f>TRIM(LEFT(spe_sponsor!H18,3))</f>
        <v/>
      </c>
      <c r="L18" s="504"/>
      <c r="M18" s="505"/>
    </row>
    <row r="19" spans="1:13" ht="10.5" customHeight="1" x14ac:dyDescent="0.25">
      <c r="A19" s="503" t="str">
        <f>spe_sponsor!A19</f>
        <v/>
      </c>
      <c r="B19" s="254" t="str">
        <f>IF($A19="spe_sponsor",spe_db_register!$D$6,"")</f>
        <v/>
      </c>
      <c r="C19" s="255" t="str">
        <f>IF($A19="spe_sponsor",spe_db_register!$D$7,"")</f>
        <v/>
      </c>
      <c r="D19" s="430" t="str">
        <f>IF($A19="spe_sponsor",spe_db_register!$D$8,"")</f>
        <v/>
      </c>
      <c r="E19" s="256" t="str">
        <f>IF($A19="spe_sponsor",spe_db_register!$D$9,"")</f>
        <v/>
      </c>
      <c r="F19" s="310" t="str">
        <f>IF($A19="spe_sponsor",spe_db_register!$D$11,"")</f>
        <v/>
      </c>
      <c r="G19" s="281" t="str">
        <f>spe_sponsor!D19</f>
        <v/>
      </c>
      <c r="H19" s="295" t="str">
        <f>LEFT(T(spe_sponsor!E19),255)</f>
        <v/>
      </c>
      <c r="I19" s="295" t="str">
        <f>LEFT(T(spe_sponsor!F19),20)</f>
        <v/>
      </c>
      <c r="J19" s="143" t="str">
        <f>LEFT(spe_sponsor!G19,2)</f>
        <v/>
      </c>
      <c r="K19" s="143" t="str">
        <f>TRIM(LEFT(spe_sponsor!H19,3))</f>
        <v/>
      </c>
      <c r="L19" s="504"/>
      <c r="M19" s="505"/>
    </row>
    <row r="20" spans="1:13" ht="10.5" customHeight="1" x14ac:dyDescent="0.25">
      <c r="A20" s="503" t="str">
        <f>spe_sponsor!A20</f>
        <v/>
      </c>
      <c r="B20" s="254" t="str">
        <f>IF($A20="spe_sponsor",spe_db_register!$D$6,"")</f>
        <v/>
      </c>
      <c r="C20" s="255" t="str">
        <f>IF($A20="spe_sponsor",spe_db_register!$D$7,"")</f>
        <v/>
      </c>
      <c r="D20" s="430" t="str">
        <f>IF($A20="spe_sponsor",spe_db_register!$D$8,"")</f>
        <v/>
      </c>
      <c r="E20" s="256" t="str">
        <f>IF($A20="spe_sponsor",spe_db_register!$D$9,"")</f>
        <v/>
      </c>
      <c r="F20" s="310" t="str">
        <f>IF($A20="spe_sponsor",spe_db_register!$D$11,"")</f>
        <v/>
      </c>
      <c r="G20" s="281" t="str">
        <f>spe_sponsor!D20</f>
        <v/>
      </c>
      <c r="H20" s="295" t="str">
        <f>LEFT(T(spe_sponsor!E20),255)</f>
        <v/>
      </c>
      <c r="I20" s="295" t="str">
        <f>LEFT(T(spe_sponsor!F20),20)</f>
        <v/>
      </c>
      <c r="J20" s="143" t="str">
        <f>LEFT(spe_sponsor!G20,2)</f>
        <v/>
      </c>
      <c r="K20" s="143" t="str">
        <f>TRIM(LEFT(spe_sponsor!H20,3))</f>
        <v/>
      </c>
      <c r="L20" s="504"/>
      <c r="M20" s="505"/>
    </row>
    <row r="21" spans="1:13" ht="10.5" customHeight="1" x14ac:dyDescent="0.25">
      <c r="A21" s="503" t="str">
        <f>spe_sponsor!A21</f>
        <v/>
      </c>
      <c r="B21" s="254" t="str">
        <f>IF($A21="spe_sponsor",spe_db_register!$D$6,"")</f>
        <v/>
      </c>
      <c r="C21" s="255" t="str">
        <f>IF($A21="spe_sponsor",spe_db_register!$D$7,"")</f>
        <v/>
      </c>
      <c r="D21" s="430" t="str">
        <f>IF($A21="spe_sponsor",spe_db_register!$D$8,"")</f>
        <v/>
      </c>
      <c r="E21" s="256" t="str">
        <f>IF($A21="spe_sponsor",spe_db_register!$D$9,"")</f>
        <v/>
      </c>
      <c r="F21" s="310" t="str">
        <f>IF($A21="spe_sponsor",spe_db_register!$D$11,"")</f>
        <v/>
      </c>
      <c r="G21" s="281" t="str">
        <f>spe_sponsor!D21</f>
        <v/>
      </c>
      <c r="H21" s="295" t="str">
        <f>LEFT(T(spe_sponsor!E21),255)</f>
        <v/>
      </c>
      <c r="I21" s="295" t="str">
        <f>LEFT(T(spe_sponsor!F21),20)</f>
        <v/>
      </c>
      <c r="J21" s="143" t="str">
        <f>LEFT(spe_sponsor!G21,2)</f>
        <v/>
      </c>
      <c r="K21" s="143" t="str">
        <f>TRIM(LEFT(spe_sponsor!H21,3))</f>
        <v/>
      </c>
      <c r="L21" s="504"/>
      <c r="M21" s="505"/>
    </row>
    <row r="22" spans="1:13" ht="10.5" customHeight="1" x14ac:dyDescent="0.25">
      <c r="A22" s="503" t="str">
        <f>spe_sponsor!A22</f>
        <v/>
      </c>
      <c r="B22" s="254" t="str">
        <f>IF($A22="spe_sponsor",spe_db_register!$D$6,"")</f>
        <v/>
      </c>
      <c r="C22" s="255" t="str">
        <f>IF($A22="spe_sponsor",spe_db_register!$D$7,"")</f>
        <v/>
      </c>
      <c r="D22" s="430" t="str">
        <f>IF($A22="spe_sponsor",spe_db_register!$D$8,"")</f>
        <v/>
      </c>
      <c r="E22" s="256" t="str">
        <f>IF($A22="spe_sponsor",spe_db_register!$D$9,"")</f>
        <v/>
      </c>
      <c r="F22" s="310" t="str">
        <f>IF($A22="spe_sponsor",spe_db_register!$D$11,"")</f>
        <v/>
      </c>
      <c r="G22" s="281" t="str">
        <f>spe_sponsor!D22</f>
        <v/>
      </c>
      <c r="H22" s="295" t="str">
        <f>LEFT(T(spe_sponsor!E22),255)</f>
        <v/>
      </c>
      <c r="I22" s="295" t="str">
        <f>LEFT(T(spe_sponsor!F22),20)</f>
        <v/>
      </c>
      <c r="J22" s="143" t="str">
        <f>LEFT(spe_sponsor!G22,2)</f>
        <v/>
      </c>
      <c r="K22" s="143" t="str">
        <f>TRIM(LEFT(spe_sponsor!H22,3))</f>
        <v/>
      </c>
      <c r="L22" s="504"/>
      <c r="M22" s="505"/>
    </row>
    <row r="23" spans="1:13" ht="10.5" customHeight="1" x14ac:dyDescent="0.25">
      <c r="A23" s="503" t="str">
        <f>spe_sponsor!A23</f>
        <v/>
      </c>
      <c r="B23" s="254" t="str">
        <f>IF($A23="spe_sponsor",spe_db_register!$D$6,"")</f>
        <v/>
      </c>
      <c r="C23" s="255" t="str">
        <f>IF($A23="spe_sponsor",spe_db_register!$D$7,"")</f>
        <v/>
      </c>
      <c r="D23" s="430" t="str">
        <f>IF($A23="spe_sponsor",spe_db_register!$D$8,"")</f>
        <v/>
      </c>
      <c r="E23" s="256" t="str">
        <f>IF($A23="spe_sponsor",spe_db_register!$D$9,"")</f>
        <v/>
      </c>
      <c r="F23" s="310" t="str">
        <f>IF($A23="spe_sponsor",spe_db_register!$D$11,"")</f>
        <v/>
      </c>
      <c r="G23" s="281" t="str">
        <f>spe_sponsor!D23</f>
        <v/>
      </c>
      <c r="H23" s="295" t="str">
        <f>LEFT(T(spe_sponsor!E23),255)</f>
        <v/>
      </c>
      <c r="I23" s="295" t="str">
        <f>LEFT(T(spe_sponsor!F23),20)</f>
        <v/>
      </c>
      <c r="J23" s="143" t="str">
        <f>LEFT(spe_sponsor!G23,2)</f>
        <v/>
      </c>
      <c r="K23" s="143" t="str">
        <f>TRIM(LEFT(spe_sponsor!H23,3))</f>
        <v/>
      </c>
      <c r="L23" s="504"/>
      <c r="M23" s="505"/>
    </row>
    <row r="24" spans="1:13" ht="10.5" customHeight="1" x14ac:dyDescent="0.25">
      <c r="A24" s="503" t="str">
        <f>spe_sponsor!A24</f>
        <v/>
      </c>
      <c r="B24" s="254" t="str">
        <f>IF($A24="spe_sponsor",spe_db_register!$D$6,"")</f>
        <v/>
      </c>
      <c r="C24" s="255" t="str">
        <f>IF($A24="spe_sponsor",spe_db_register!$D$7,"")</f>
        <v/>
      </c>
      <c r="D24" s="430" t="str">
        <f>IF($A24="spe_sponsor",spe_db_register!$D$8,"")</f>
        <v/>
      </c>
      <c r="E24" s="256" t="str">
        <f>IF($A24="spe_sponsor",spe_db_register!$D$9,"")</f>
        <v/>
      </c>
      <c r="F24" s="310" t="str">
        <f>IF($A24="spe_sponsor",spe_db_register!$D$11,"")</f>
        <v/>
      </c>
      <c r="G24" s="281" t="str">
        <f>spe_sponsor!D24</f>
        <v/>
      </c>
      <c r="H24" s="295" t="str">
        <f>LEFT(T(spe_sponsor!E24),255)</f>
        <v/>
      </c>
      <c r="I24" s="295" t="str">
        <f>LEFT(T(spe_sponsor!F24),20)</f>
        <v/>
      </c>
      <c r="J24" s="143" t="str">
        <f>LEFT(spe_sponsor!G24,2)</f>
        <v/>
      </c>
      <c r="K24" s="143" t="str">
        <f>TRIM(LEFT(spe_sponsor!H24,3))</f>
        <v/>
      </c>
      <c r="L24" s="504"/>
      <c r="M24" s="505"/>
    </row>
    <row r="25" spans="1:13" ht="10.5" customHeight="1" x14ac:dyDescent="0.25">
      <c r="A25" s="503" t="str">
        <f>spe_sponsor!A25</f>
        <v/>
      </c>
      <c r="B25" s="254" t="str">
        <f>IF($A25="spe_sponsor",spe_db_register!$D$6,"")</f>
        <v/>
      </c>
      <c r="C25" s="255" t="str">
        <f>IF($A25="spe_sponsor",spe_db_register!$D$7,"")</f>
        <v/>
      </c>
      <c r="D25" s="430" t="str">
        <f>IF($A25="spe_sponsor",spe_db_register!$D$8,"")</f>
        <v/>
      </c>
      <c r="E25" s="256" t="str">
        <f>IF($A25="spe_sponsor",spe_db_register!$D$9,"")</f>
        <v/>
      </c>
      <c r="F25" s="310" t="str">
        <f>IF($A25="spe_sponsor",spe_db_register!$D$11,"")</f>
        <v/>
      </c>
      <c r="G25" s="281" t="str">
        <f>spe_sponsor!D25</f>
        <v/>
      </c>
      <c r="H25" s="295" t="str">
        <f>LEFT(T(spe_sponsor!E25),255)</f>
        <v/>
      </c>
      <c r="I25" s="295" t="str">
        <f>LEFT(T(spe_sponsor!F25),20)</f>
        <v/>
      </c>
      <c r="J25" s="143" t="str">
        <f>LEFT(spe_sponsor!G25,2)</f>
        <v/>
      </c>
      <c r="K25" s="143" t="str">
        <f>TRIM(LEFT(spe_sponsor!H25,3))</f>
        <v/>
      </c>
      <c r="L25" s="504"/>
      <c r="M25" s="505"/>
    </row>
    <row r="26" spans="1:13" ht="10.5" customHeight="1" thickBot="1" x14ac:dyDescent="0.3">
      <c r="A26" s="506" t="str">
        <f>spe_sponsor!A26</f>
        <v/>
      </c>
      <c r="B26" s="257" t="str">
        <f>IF($A26="spe_sponsor",spe_db_register!$D$6,"")</f>
        <v/>
      </c>
      <c r="C26" s="258" t="str">
        <f>IF($A26="spe_sponsor",spe_db_register!$D$7,"")</f>
        <v/>
      </c>
      <c r="D26" s="431" t="str">
        <f>IF($A26="spe_sponsor",spe_db_register!$D$8,"")</f>
        <v/>
      </c>
      <c r="E26" s="259" t="str">
        <f>IF($A26="spe_sponsor",spe_db_register!$D$9,"")</f>
        <v/>
      </c>
      <c r="F26" s="311" t="str">
        <f>IF($A26="spe_sponsor",spe_db_register!$D$11,"")</f>
        <v/>
      </c>
      <c r="G26" s="282" t="str">
        <f>spe_sponsor!D26</f>
        <v/>
      </c>
      <c r="H26" s="296" t="str">
        <f>LEFT(T(spe_sponsor!E26),255)</f>
        <v/>
      </c>
      <c r="I26" s="296" t="str">
        <f>LEFT(T(spe_sponsor!F26),20)</f>
        <v/>
      </c>
      <c r="J26" s="144" t="str">
        <f>LEFT(spe_sponsor!G26,2)</f>
        <v/>
      </c>
      <c r="K26" s="144" t="str">
        <f>TRIM(LEFT(spe_sponsor!H26,3))</f>
        <v/>
      </c>
      <c r="L26" s="507"/>
      <c r="M26" s="508"/>
    </row>
    <row r="27" spans="1:13" ht="10.5" customHeight="1" thickTop="1" x14ac:dyDescent="0.25">
      <c r="A27" s="509" t="str">
        <f>spe_originator!A2</f>
        <v/>
      </c>
      <c r="B27" s="260" t="str">
        <f>IF($A27="spe_originator",spe_db_register!$D$6,"")</f>
        <v/>
      </c>
      <c r="C27" s="261" t="str">
        <f>IF($A27="spe_originator",spe_db_register!$D$7,"")</f>
        <v/>
      </c>
      <c r="D27" s="432" t="str">
        <f>IF($A27="spe_originator",spe_db_register!$D$8,"")</f>
        <v/>
      </c>
      <c r="E27" s="445" t="str">
        <f>IF($A27="spe_originator",spe_db_register!$D$9,"")</f>
        <v/>
      </c>
      <c r="F27" s="312" t="str">
        <f>IF($A27="spe_originator",spe_db_register!$D$11,"")</f>
        <v/>
      </c>
      <c r="G27" s="283" t="str">
        <f>spe_originator!D2</f>
        <v/>
      </c>
      <c r="H27" s="297" t="str">
        <f>LEFT(T(spe_originator!E2),255)</f>
        <v/>
      </c>
      <c r="I27" s="297" t="str">
        <f>LEFT(T(spe_originator!F2),20)</f>
        <v/>
      </c>
      <c r="J27" s="130" t="str">
        <f>LEFT(spe_originator!G2,2)</f>
        <v/>
      </c>
      <c r="K27" s="130" t="str">
        <f>TRIM(LEFT(spe_originator!H2,3))</f>
        <v/>
      </c>
      <c r="L27" s="510"/>
      <c r="M27" s="511"/>
    </row>
    <row r="28" spans="1:13" ht="10.5" customHeight="1" x14ac:dyDescent="0.25">
      <c r="A28" s="512" t="str">
        <f>spe_originator!A3</f>
        <v/>
      </c>
      <c r="B28" s="262" t="str">
        <f>IF($A28="spe_originator",spe_db_register!$D$6,"")</f>
        <v/>
      </c>
      <c r="C28" s="263" t="str">
        <f>IF($A28="spe_originator",spe_db_register!$D$7,"")</f>
        <v/>
      </c>
      <c r="D28" s="433" t="str">
        <f>IF($A28="spe_originator",spe_db_register!$D$8,"")</f>
        <v/>
      </c>
      <c r="E28" s="446" t="str">
        <f>IF($A28="spe_originator",spe_db_register!$D$9,"")</f>
        <v/>
      </c>
      <c r="F28" s="313" t="str">
        <f>IF($A28="spe_originator",spe_db_register!$D$11,"")</f>
        <v/>
      </c>
      <c r="G28" s="284" t="str">
        <f>spe_originator!D3</f>
        <v/>
      </c>
      <c r="H28" s="298" t="str">
        <f>LEFT(T(spe_originator!E3),255)</f>
        <v/>
      </c>
      <c r="I28" s="298" t="str">
        <f>LEFT(T(spe_originator!F3),20)</f>
        <v/>
      </c>
      <c r="J28" s="131" t="str">
        <f>LEFT(spe_originator!G3,2)</f>
        <v/>
      </c>
      <c r="K28" s="131" t="str">
        <f>TRIM(LEFT(spe_originator!H3,3))</f>
        <v/>
      </c>
      <c r="L28" s="504"/>
      <c r="M28" s="505"/>
    </row>
    <row r="29" spans="1:13" ht="10.5" customHeight="1" x14ac:dyDescent="0.25">
      <c r="A29" s="512" t="str">
        <f>spe_originator!A4</f>
        <v/>
      </c>
      <c r="B29" s="262" t="str">
        <f>IF($A29="spe_originator",spe_db_register!$D$6,"")</f>
        <v/>
      </c>
      <c r="C29" s="263" t="str">
        <f>IF($A29="spe_originator",spe_db_register!$D$7,"")</f>
        <v/>
      </c>
      <c r="D29" s="433" t="str">
        <f>IF($A29="spe_originator",spe_db_register!$D$8,"")</f>
        <v/>
      </c>
      <c r="E29" s="446" t="str">
        <f>IF($A29="spe_originator",spe_db_register!$D$9,"")</f>
        <v/>
      </c>
      <c r="F29" s="313" t="str">
        <f>IF($A29="spe_originator",spe_db_register!$D$11,"")</f>
        <v/>
      </c>
      <c r="G29" s="284" t="str">
        <f>spe_originator!D4</f>
        <v/>
      </c>
      <c r="H29" s="298" t="str">
        <f>LEFT(T(spe_originator!E4),255)</f>
        <v/>
      </c>
      <c r="I29" s="298" t="str">
        <f>LEFT(T(spe_originator!F4),20)</f>
        <v/>
      </c>
      <c r="J29" s="131" t="str">
        <f>LEFT(spe_originator!G4,2)</f>
        <v/>
      </c>
      <c r="K29" s="131" t="str">
        <f>TRIM(LEFT(spe_originator!H4,3))</f>
        <v/>
      </c>
      <c r="L29" s="504"/>
      <c r="M29" s="505"/>
    </row>
    <row r="30" spans="1:13" ht="10.5" customHeight="1" x14ac:dyDescent="0.25">
      <c r="A30" s="512" t="str">
        <f>spe_originator!A5</f>
        <v/>
      </c>
      <c r="B30" s="262" t="str">
        <f>IF($A30="spe_originator",spe_db_register!$D$6,"")</f>
        <v/>
      </c>
      <c r="C30" s="263" t="str">
        <f>IF($A30="spe_originator",spe_db_register!$D$7,"")</f>
        <v/>
      </c>
      <c r="D30" s="433" t="str">
        <f>IF($A30="spe_originator",spe_db_register!$D$8,"")</f>
        <v/>
      </c>
      <c r="E30" s="446" t="str">
        <f>IF($A30="spe_originator",spe_db_register!$D$9,"")</f>
        <v/>
      </c>
      <c r="F30" s="313" t="str">
        <f>IF($A30="spe_originator",spe_db_register!$D$11,"")</f>
        <v/>
      </c>
      <c r="G30" s="284" t="str">
        <f>spe_originator!D5</f>
        <v/>
      </c>
      <c r="H30" s="298" t="str">
        <f>LEFT(T(spe_originator!E5),255)</f>
        <v/>
      </c>
      <c r="I30" s="298" t="str">
        <f>LEFT(T(spe_originator!F5),20)</f>
        <v/>
      </c>
      <c r="J30" s="131" t="str">
        <f>LEFT(spe_originator!G5,2)</f>
        <v/>
      </c>
      <c r="K30" s="131" t="str">
        <f>TRIM(LEFT(spe_originator!H5,3))</f>
        <v/>
      </c>
      <c r="L30" s="504"/>
      <c r="M30" s="505"/>
    </row>
    <row r="31" spans="1:13" ht="10.5" customHeight="1" x14ac:dyDescent="0.25">
      <c r="A31" s="512" t="str">
        <f>spe_originator!A6</f>
        <v/>
      </c>
      <c r="B31" s="262" t="str">
        <f>IF($A31="spe_originator",spe_db_register!$D$6,"")</f>
        <v/>
      </c>
      <c r="C31" s="263" t="str">
        <f>IF($A31="spe_originator",spe_db_register!$D$7,"")</f>
        <v/>
      </c>
      <c r="D31" s="433" t="str">
        <f>IF($A31="spe_originator",spe_db_register!$D$8,"")</f>
        <v/>
      </c>
      <c r="E31" s="446" t="str">
        <f>IF($A31="spe_originator",spe_db_register!$D$9,"")</f>
        <v/>
      </c>
      <c r="F31" s="313" t="str">
        <f>IF($A31="spe_originator",spe_db_register!$D$11,"")</f>
        <v/>
      </c>
      <c r="G31" s="284" t="str">
        <f>spe_originator!D6</f>
        <v/>
      </c>
      <c r="H31" s="298" t="str">
        <f>LEFT(T(spe_originator!E6),255)</f>
        <v/>
      </c>
      <c r="I31" s="298" t="str">
        <f>LEFT(T(spe_originator!F6),20)</f>
        <v/>
      </c>
      <c r="J31" s="131" t="str">
        <f>LEFT(spe_originator!G6,2)</f>
        <v/>
      </c>
      <c r="K31" s="131" t="str">
        <f>TRIM(LEFT(spe_originator!H6,3))</f>
        <v/>
      </c>
      <c r="L31" s="504"/>
      <c r="M31" s="505"/>
    </row>
    <row r="32" spans="1:13" ht="10.5" customHeight="1" x14ac:dyDescent="0.25">
      <c r="A32" s="512" t="str">
        <f>spe_originator!A7</f>
        <v/>
      </c>
      <c r="B32" s="262" t="str">
        <f>IF($A32="spe_originator",spe_db_register!$D$6,"")</f>
        <v/>
      </c>
      <c r="C32" s="263" t="str">
        <f>IF($A32="spe_originator",spe_db_register!$D$7,"")</f>
        <v/>
      </c>
      <c r="D32" s="433" t="str">
        <f>IF($A32="spe_originator",spe_db_register!$D$8,"")</f>
        <v/>
      </c>
      <c r="E32" s="446" t="str">
        <f>IF($A32="spe_originator",spe_db_register!$D$9,"")</f>
        <v/>
      </c>
      <c r="F32" s="313" t="str">
        <f>IF($A32="spe_originator",spe_db_register!$D$11,"")</f>
        <v/>
      </c>
      <c r="G32" s="284" t="str">
        <f>spe_originator!D7</f>
        <v/>
      </c>
      <c r="H32" s="298" t="str">
        <f>LEFT(T(spe_originator!E7),255)</f>
        <v/>
      </c>
      <c r="I32" s="298" t="str">
        <f>LEFT(T(spe_originator!F7),20)</f>
        <v/>
      </c>
      <c r="J32" s="131" t="str">
        <f>LEFT(spe_originator!G7,2)</f>
        <v/>
      </c>
      <c r="K32" s="131" t="str">
        <f>TRIM(LEFT(spe_originator!H7,3))</f>
        <v/>
      </c>
      <c r="L32" s="504"/>
      <c r="M32" s="505"/>
    </row>
    <row r="33" spans="1:13" ht="10.5" customHeight="1" x14ac:dyDescent="0.25">
      <c r="A33" s="512" t="str">
        <f>spe_originator!A8</f>
        <v/>
      </c>
      <c r="B33" s="262" t="str">
        <f>IF($A33="spe_originator",spe_db_register!$D$6,"")</f>
        <v/>
      </c>
      <c r="C33" s="263" t="str">
        <f>IF($A33="spe_originator",spe_db_register!$D$7,"")</f>
        <v/>
      </c>
      <c r="D33" s="433" t="str">
        <f>IF($A33="spe_originator",spe_db_register!$D$8,"")</f>
        <v/>
      </c>
      <c r="E33" s="446" t="str">
        <f>IF($A33="spe_originator",spe_db_register!$D$9,"")</f>
        <v/>
      </c>
      <c r="F33" s="313" t="str">
        <f>IF($A33="spe_originator",spe_db_register!$D$11,"")</f>
        <v/>
      </c>
      <c r="G33" s="284" t="str">
        <f>spe_originator!D8</f>
        <v/>
      </c>
      <c r="H33" s="298" t="str">
        <f>LEFT(T(spe_originator!E8),255)</f>
        <v/>
      </c>
      <c r="I33" s="298" t="str">
        <f>LEFT(T(spe_originator!F8),20)</f>
        <v/>
      </c>
      <c r="J33" s="131" t="str">
        <f>LEFT(spe_originator!G8,2)</f>
        <v/>
      </c>
      <c r="K33" s="131" t="str">
        <f>TRIM(LEFT(spe_originator!H8,3))</f>
        <v/>
      </c>
      <c r="L33" s="504"/>
      <c r="M33" s="505"/>
    </row>
    <row r="34" spans="1:13" ht="10.5" customHeight="1" x14ac:dyDescent="0.25">
      <c r="A34" s="512" t="str">
        <f>spe_originator!A9</f>
        <v/>
      </c>
      <c r="B34" s="262" t="str">
        <f>IF($A34="spe_originator",spe_db_register!$D$6,"")</f>
        <v/>
      </c>
      <c r="C34" s="263" t="str">
        <f>IF($A34="spe_originator",spe_db_register!$D$7,"")</f>
        <v/>
      </c>
      <c r="D34" s="433" t="str">
        <f>IF($A34="spe_originator",spe_db_register!$D$8,"")</f>
        <v/>
      </c>
      <c r="E34" s="446" t="str">
        <f>IF($A34="spe_originator",spe_db_register!$D$9,"")</f>
        <v/>
      </c>
      <c r="F34" s="313" t="str">
        <f>IF($A34="spe_originator",spe_db_register!$D$11,"")</f>
        <v/>
      </c>
      <c r="G34" s="284" t="str">
        <f>spe_originator!D9</f>
        <v/>
      </c>
      <c r="H34" s="298" t="str">
        <f>LEFT(T(spe_originator!E9),255)</f>
        <v/>
      </c>
      <c r="I34" s="298" t="str">
        <f>LEFT(T(spe_originator!F9),20)</f>
        <v/>
      </c>
      <c r="J34" s="131" t="str">
        <f>LEFT(spe_originator!G9,2)</f>
        <v/>
      </c>
      <c r="K34" s="131" t="str">
        <f>TRIM(LEFT(spe_originator!H9,3))</f>
        <v/>
      </c>
      <c r="L34" s="504"/>
      <c r="M34" s="505"/>
    </row>
    <row r="35" spans="1:13" ht="10.5" customHeight="1" x14ac:dyDescent="0.25">
      <c r="A35" s="512" t="str">
        <f>spe_originator!A10</f>
        <v/>
      </c>
      <c r="B35" s="262" t="str">
        <f>IF($A35="spe_originator",spe_db_register!$D$6,"")</f>
        <v/>
      </c>
      <c r="C35" s="263" t="str">
        <f>IF($A35="spe_originator",spe_db_register!$D$7,"")</f>
        <v/>
      </c>
      <c r="D35" s="433" t="str">
        <f>IF($A35="spe_originator",spe_db_register!$D$8,"")</f>
        <v/>
      </c>
      <c r="E35" s="446" t="str">
        <f>IF($A35="spe_originator",spe_db_register!$D$9,"")</f>
        <v/>
      </c>
      <c r="F35" s="313" t="str">
        <f>IF($A35="spe_originator",spe_db_register!$D$11,"")</f>
        <v/>
      </c>
      <c r="G35" s="284" t="str">
        <f>spe_originator!D10</f>
        <v/>
      </c>
      <c r="H35" s="298" t="str">
        <f>LEFT(T(spe_originator!E10),255)</f>
        <v/>
      </c>
      <c r="I35" s="298" t="str">
        <f>LEFT(T(spe_originator!F10),20)</f>
        <v/>
      </c>
      <c r="J35" s="131" t="str">
        <f>LEFT(spe_originator!G10,2)</f>
        <v/>
      </c>
      <c r="K35" s="131" t="str">
        <f>TRIM(LEFT(spe_originator!H10,3))</f>
        <v/>
      </c>
      <c r="L35" s="504"/>
      <c r="M35" s="505"/>
    </row>
    <row r="36" spans="1:13" ht="10.5" customHeight="1" x14ac:dyDescent="0.25">
      <c r="A36" s="512" t="str">
        <f>spe_originator!A11</f>
        <v/>
      </c>
      <c r="B36" s="262" t="str">
        <f>IF($A36="spe_originator",spe_db_register!$D$6,"")</f>
        <v/>
      </c>
      <c r="C36" s="263" t="str">
        <f>IF($A36="spe_originator",spe_db_register!$D$7,"")</f>
        <v/>
      </c>
      <c r="D36" s="433" t="str">
        <f>IF($A36="spe_originator",spe_db_register!$D$8,"")</f>
        <v/>
      </c>
      <c r="E36" s="446" t="str">
        <f>IF($A36="spe_originator",spe_db_register!$D$9,"")</f>
        <v/>
      </c>
      <c r="F36" s="313" t="str">
        <f>IF($A36="spe_originator",spe_db_register!$D$11,"")</f>
        <v/>
      </c>
      <c r="G36" s="284" t="str">
        <f>spe_originator!D11</f>
        <v/>
      </c>
      <c r="H36" s="298" t="str">
        <f>LEFT(T(spe_originator!E11),255)</f>
        <v/>
      </c>
      <c r="I36" s="298" t="str">
        <f>LEFT(T(spe_originator!F11),20)</f>
        <v/>
      </c>
      <c r="J36" s="131" t="str">
        <f>LEFT(spe_originator!G11,2)</f>
        <v/>
      </c>
      <c r="K36" s="131" t="str">
        <f>TRIM(LEFT(spe_originator!H11,3))</f>
        <v/>
      </c>
      <c r="L36" s="504"/>
      <c r="M36" s="505"/>
    </row>
    <row r="37" spans="1:13" ht="10.5" customHeight="1" x14ac:dyDescent="0.25">
      <c r="A37" s="512" t="str">
        <f>spe_originator!A12</f>
        <v/>
      </c>
      <c r="B37" s="262" t="str">
        <f>IF($A37="spe_originator",spe_db_register!$D$6,"")</f>
        <v/>
      </c>
      <c r="C37" s="263" t="str">
        <f>IF($A37="spe_originator",spe_db_register!$D$7,"")</f>
        <v/>
      </c>
      <c r="D37" s="433" t="str">
        <f>IF($A37="spe_originator",spe_db_register!$D$8,"")</f>
        <v/>
      </c>
      <c r="E37" s="446" t="str">
        <f>IF($A37="spe_originator",spe_db_register!$D$9,"")</f>
        <v/>
      </c>
      <c r="F37" s="313" t="str">
        <f>IF($A37="spe_originator",spe_db_register!$D$11,"")</f>
        <v/>
      </c>
      <c r="G37" s="284" t="str">
        <f>spe_originator!D12</f>
        <v/>
      </c>
      <c r="H37" s="298" t="str">
        <f>LEFT(T(spe_originator!E12),255)</f>
        <v/>
      </c>
      <c r="I37" s="298" t="str">
        <f>LEFT(T(spe_originator!F12),20)</f>
        <v/>
      </c>
      <c r="J37" s="131" t="str">
        <f>LEFT(spe_originator!G12,2)</f>
        <v/>
      </c>
      <c r="K37" s="131" t="str">
        <f>TRIM(LEFT(spe_originator!H12,3))</f>
        <v/>
      </c>
      <c r="L37" s="504"/>
      <c r="M37" s="505"/>
    </row>
    <row r="38" spans="1:13" ht="10.5" customHeight="1" x14ac:dyDescent="0.25">
      <c r="A38" s="512" t="str">
        <f>spe_originator!A13</f>
        <v/>
      </c>
      <c r="B38" s="262" t="str">
        <f>IF($A38="spe_originator",spe_db_register!$D$6,"")</f>
        <v/>
      </c>
      <c r="C38" s="263" t="str">
        <f>IF($A38="spe_originator",spe_db_register!$D$7,"")</f>
        <v/>
      </c>
      <c r="D38" s="433" t="str">
        <f>IF($A38="spe_originator",spe_db_register!$D$8,"")</f>
        <v/>
      </c>
      <c r="E38" s="446" t="str">
        <f>IF($A38="spe_originator",spe_db_register!$D$9,"")</f>
        <v/>
      </c>
      <c r="F38" s="313" t="str">
        <f>IF($A38="spe_originator",spe_db_register!$D$11,"")</f>
        <v/>
      </c>
      <c r="G38" s="284" t="str">
        <f>spe_originator!D13</f>
        <v/>
      </c>
      <c r="H38" s="298" t="str">
        <f>LEFT(T(spe_originator!E13),255)</f>
        <v/>
      </c>
      <c r="I38" s="298" t="str">
        <f>LEFT(T(spe_originator!F13),20)</f>
        <v/>
      </c>
      <c r="J38" s="131" t="str">
        <f>LEFT(spe_originator!G13,2)</f>
        <v/>
      </c>
      <c r="K38" s="131" t="str">
        <f>TRIM(LEFT(spe_originator!H13,3))</f>
        <v/>
      </c>
      <c r="L38" s="504"/>
      <c r="M38" s="505"/>
    </row>
    <row r="39" spans="1:13" ht="10.5" customHeight="1" x14ac:dyDescent="0.25">
      <c r="A39" s="512" t="str">
        <f>spe_originator!A14</f>
        <v/>
      </c>
      <c r="B39" s="262" t="str">
        <f>IF($A39="spe_originator",spe_db_register!$D$6,"")</f>
        <v/>
      </c>
      <c r="C39" s="263" t="str">
        <f>IF($A39="spe_originator",spe_db_register!$D$7,"")</f>
        <v/>
      </c>
      <c r="D39" s="433" t="str">
        <f>IF($A39="spe_originator",spe_db_register!$D$8,"")</f>
        <v/>
      </c>
      <c r="E39" s="446" t="str">
        <f>IF($A39="spe_originator",spe_db_register!$D$9,"")</f>
        <v/>
      </c>
      <c r="F39" s="313" t="str">
        <f>IF($A39="spe_originator",spe_db_register!$D$11,"")</f>
        <v/>
      </c>
      <c r="G39" s="284" t="str">
        <f>spe_originator!D14</f>
        <v/>
      </c>
      <c r="H39" s="298" t="str">
        <f>LEFT(T(spe_originator!E14),255)</f>
        <v/>
      </c>
      <c r="I39" s="298" t="str">
        <f>LEFT(T(spe_originator!F14),20)</f>
        <v/>
      </c>
      <c r="J39" s="131" t="str">
        <f>LEFT(spe_originator!G14,2)</f>
        <v/>
      </c>
      <c r="K39" s="131" t="str">
        <f>TRIM(LEFT(spe_originator!H14,3))</f>
        <v/>
      </c>
      <c r="L39" s="504"/>
      <c r="M39" s="505"/>
    </row>
    <row r="40" spans="1:13" ht="10.5" customHeight="1" x14ac:dyDescent="0.25">
      <c r="A40" s="512" t="str">
        <f>spe_originator!A15</f>
        <v/>
      </c>
      <c r="B40" s="262" t="str">
        <f>IF($A40="spe_originator",spe_db_register!$D$6,"")</f>
        <v/>
      </c>
      <c r="C40" s="263" t="str">
        <f>IF($A40="spe_originator",spe_db_register!$D$7,"")</f>
        <v/>
      </c>
      <c r="D40" s="433" t="str">
        <f>IF($A40="spe_originator",spe_db_register!$D$8,"")</f>
        <v/>
      </c>
      <c r="E40" s="446" t="str">
        <f>IF($A40="spe_originator",spe_db_register!$D$9,"")</f>
        <v/>
      </c>
      <c r="F40" s="313" t="str">
        <f>IF($A40="spe_originator",spe_db_register!$D$11,"")</f>
        <v/>
      </c>
      <c r="G40" s="284" t="str">
        <f>spe_originator!D15</f>
        <v/>
      </c>
      <c r="H40" s="298" t="str">
        <f>LEFT(T(spe_originator!E15),255)</f>
        <v/>
      </c>
      <c r="I40" s="298" t="str">
        <f>LEFT(T(spe_originator!F15),20)</f>
        <v/>
      </c>
      <c r="J40" s="131" t="str">
        <f>LEFT(spe_originator!G15,2)</f>
        <v/>
      </c>
      <c r="K40" s="131" t="str">
        <f>TRIM(LEFT(spe_originator!H15,3))</f>
        <v/>
      </c>
      <c r="L40" s="504"/>
      <c r="M40" s="505"/>
    </row>
    <row r="41" spans="1:13" ht="10.5" customHeight="1" x14ac:dyDescent="0.25">
      <c r="A41" s="512" t="str">
        <f>spe_originator!A16</f>
        <v/>
      </c>
      <c r="B41" s="262" t="str">
        <f>IF($A41="spe_originator",spe_db_register!$D$6,"")</f>
        <v/>
      </c>
      <c r="C41" s="263" t="str">
        <f>IF($A41="spe_originator",spe_db_register!$D$7,"")</f>
        <v/>
      </c>
      <c r="D41" s="433" t="str">
        <f>IF($A41="spe_originator",spe_db_register!$D$8,"")</f>
        <v/>
      </c>
      <c r="E41" s="446" t="str">
        <f>IF($A41="spe_originator",spe_db_register!$D$9,"")</f>
        <v/>
      </c>
      <c r="F41" s="313" t="str">
        <f>IF($A41="spe_originator",spe_db_register!$D$11,"")</f>
        <v/>
      </c>
      <c r="G41" s="284" t="str">
        <f>spe_originator!D16</f>
        <v/>
      </c>
      <c r="H41" s="298" t="str">
        <f>LEFT(T(spe_originator!E16),255)</f>
        <v/>
      </c>
      <c r="I41" s="298" t="str">
        <f>LEFT(T(spe_originator!F16),20)</f>
        <v/>
      </c>
      <c r="J41" s="131" t="str">
        <f>LEFT(spe_originator!G16,2)</f>
        <v/>
      </c>
      <c r="K41" s="131" t="str">
        <f>TRIM(LEFT(spe_originator!H16,3))</f>
        <v/>
      </c>
      <c r="L41" s="504"/>
      <c r="M41" s="505"/>
    </row>
    <row r="42" spans="1:13" ht="10.5" customHeight="1" x14ac:dyDescent="0.25">
      <c r="A42" s="512" t="str">
        <f>spe_originator!A17</f>
        <v/>
      </c>
      <c r="B42" s="262" t="str">
        <f>IF($A42="spe_originator",spe_db_register!$D$6,"")</f>
        <v/>
      </c>
      <c r="C42" s="263" t="str">
        <f>IF($A42="spe_originator",spe_db_register!$D$7,"")</f>
        <v/>
      </c>
      <c r="D42" s="433" t="str">
        <f>IF($A42="spe_originator",spe_db_register!$D$8,"")</f>
        <v/>
      </c>
      <c r="E42" s="446" t="str">
        <f>IF($A42="spe_originator",spe_db_register!$D$9,"")</f>
        <v/>
      </c>
      <c r="F42" s="313" t="str">
        <f>IF($A42="spe_originator",spe_db_register!$D$11,"")</f>
        <v/>
      </c>
      <c r="G42" s="284" t="str">
        <f>spe_originator!D17</f>
        <v/>
      </c>
      <c r="H42" s="298" t="str">
        <f>LEFT(T(spe_originator!E17),255)</f>
        <v/>
      </c>
      <c r="I42" s="298" t="str">
        <f>LEFT(T(spe_originator!F17),20)</f>
        <v/>
      </c>
      <c r="J42" s="131" t="str">
        <f>LEFT(spe_originator!G17,2)</f>
        <v/>
      </c>
      <c r="K42" s="131" t="str">
        <f>TRIM(LEFT(spe_originator!H17,3))</f>
        <v/>
      </c>
      <c r="L42" s="504"/>
      <c r="M42" s="505"/>
    </row>
    <row r="43" spans="1:13" ht="10.5" customHeight="1" x14ac:dyDescent="0.25">
      <c r="A43" s="512" t="str">
        <f>spe_originator!A18</f>
        <v/>
      </c>
      <c r="B43" s="262" t="str">
        <f>IF($A43="spe_originator",spe_db_register!$D$6,"")</f>
        <v/>
      </c>
      <c r="C43" s="263" t="str">
        <f>IF($A43="spe_originator",spe_db_register!$D$7,"")</f>
        <v/>
      </c>
      <c r="D43" s="433" t="str">
        <f>IF($A43="spe_originator",spe_db_register!$D$8,"")</f>
        <v/>
      </c>
      <c r="E43" s="446" t="str">
        <f>IF($A43="spe_originator",spe_db_register!$D$9,"")</f>
        <v/>
      </c>
      <c r="F43" s="313" t="str">
        <f>IF($A43="spe_originator",spe_db_register!$D$11,"")</f>
        <v/>
      </c>
      <c r="G43" s="284" t="str">
        <f>spe_originator!D18</f>
        <v/>
      </c>
      <c r="H43" s="298" t="str">
        <f>LEFT(T(spe_originator!E18),255)</f>
        <v/>
      </c>
      <c r="I43" s="298" t="str">
        <f>LEFT(T(spe_originator!F18),20)</f>
        <v/>
      </c>
      <c r="J43" s="131" t="str">
        <f>LEFT(spe_originator!G18,2)</f>
        <v/>
      </c>
      <c r="K43" s="131" t="str">
        <f>TRIM(LEFT(spe_originator!H18,3))</f>
        <v/>
      </c>
      <c r="L43" s="504"/>
      <c r="M43" s="505"/>
    </row>
    <row r="44" spans="1:13" ht="10.5" customHeight="1" x14ac:dyDescent="0.25">
      <c r="A44" s="512" t="str">
        <f>spe_originator!A19</f>
        <v/>
      </c>
      <c r="B44" s="262" t="str">
        <f>IF($A44="spe_originator",spe_db_register!$D$6,"")</f>
        <v/>
      </c>
      <c r="C44" s="263" t="str">
        <f>IF($A44="spe_originator",spe_db_register!$D$7,"")</f>
        <v/>
      </c>
      <c r="D44" s="433" t="str">
        <f>IF($A44="spe_originator",spe_db_register!$D$8,"")</f>
        <v/>
      </c>
      <c r="E44" s="446" t="str">
        <f>IF($A44="spe_originator",spe_db_register!$D$9,"")</f>
        <v/>
      </c>
      <c r="F44" s="313" t="str">
        <f>IF($A44="spe_originator",spe_db_register!$D$11,"")</f>
        <v/>
      </c>
      <c r="G44" s="284" t="str">
        <f>spe_originator!D19</f>
        <v/>
      </c>
      <c r="H44" s="298" t="str">
        <f>LEFT(T(spe_originator!E19),255)</f>
        <v/>
      </c>
      <c r="I44" s="298" t="str">
        <f>LEFT(T(spe_originator!F19),20)</f>
        <v/>
      </c>
      <c r="J44" s="131" t="str">
        <f>LEFT(spe_originator!G19,2)</f>
        <v/>
      </c>
      <c r="K44" s="131" t="str">
        <f>TRIM(LEFT(spe_originator!H19,3))</f>
        <v/>
      </c>
      <c r="L44" s="504"/>
      <c r="M44" s="505"/>
    </row>
    <row r="45" spans="1:13" ht="10.5" customHeight="1" x14ac:dyDescent="0.25">
      <c r="A45" s="512" t="str">
        <f>spe_originator!A20</f>
        <v/>
      </c>
      <c r="B45" s="262" t="str">
        <f>IF($A45="spe_originator",spe_db_register!$D$6,"")</f>
        <v/>
      </c>
      <c r="C45" s="263" t="str">
        <f>IF($A45="spe_originator",spe_db_register!$D$7,"")</f>
        <v/>
      </c>
      <c r="D45" s="433" t="str">
        <f>IF($A45="spe_originator",spe_db_register!$D$8,"")</f>
        <v/>
      </c>
      <c r="E45" s="446" t="str">
        <f>IF($A45="spe_originator",spe_db_register!$D$9,"")</f>
        <v/>
      </c>
      <c r="F45" s="313" t="str">
        <f>IF($A45="spe_originator",spe_db_register!$D$11,"")</f>
        <v/>
      </c>
      <c r="G45" s="284" t="str">
        <f>spe_originator!D20</f>
        <v/>
      </c>
      <c r="H45" s="298" t="str">
        <f>LEFT(T(spe_originator!E20),255)</f>
        <v/>
      </c>
      <c r="I45" s="298" t="str">
        <f>LEFT(T(spe_originator!F20),20)</f>
        <v/>
      </c>
      <c r="J45" s="131" t="str">
        <f>LEFT(spe_originator!G20,2)</f>
        <v/>
      </c>
      <c r="K45" s="131" t="str">
        <f>TRIM(LEFT(spe_originator!H20,3))</f>
        <v/>
      </c>
      <c r="L45" s="504"/>
      <c r="M45" s="505"/>
    </row>
    <row r="46" spans="1:13" ht="10.5" customHeight="1" x14ac:dyDescent="0.25">
      <c r="A46" s="512" t="str">
        <f>spe_originator!A21</f>
        <v/>
      </c>
      <c r="B46" s="262" t="str">
        <f>IF($A46="spe_originator",spe_db_register!$D$6,"")</f>
        <v/>
      </c>
      <c r="C46" s="263" t="str">
        <f>IF($A46="spe_originator",spe_db_register!$D$7,"")</f>
        <v/>
      </c>
      <c r="D46" s="433" t="str">
        <f>IF($A46="spe_originator",spe_db_register!$D$8,"")</f>
        <v/>
      </c>
      <c r="E46" s="446" t="str">
        <f>IF($A46="spe_originator",spe_db_register!$D$9,"")</f>
        <v/>
      </c>
      <c r="F46" s="313" t="str">
        <f>IF($A46="spe_originator",spe_db_register!$D$11,"")</f>
        <v/>
      </c>
      <c r="G46" s="284" t="str">
        <f>spe_originator!D21</f>
        <v/>
      </c>
      <c r="H46" s="298" t="str">
        <f>LEFT(T(spe_originator!E21),255)</f>
        <v/>
      </c>
      <c r="I46" s="298" t="str">
        <f>LEFT(T(spe_originator!F21),20)</f>
        <v/>
      </c>
      <c r="J46" s="131" t="str">
        <f>LEFT(spe_originator!G21,2)</f>
        <v/>
      </c>
      <c r="K46" s="131" t="str">
        <f>TRIM(LEFT(spe_originator!H21,3))</f>
        <v/>
      </c>
      <c r="L46" s="504"/>
      <c r="M46" s="505"/>
    </row>
    <row r="47" spans="1:13" ht="10.5" customHeight="1" x14ac:dyDescent="0.25">
      <c r="A47" s="512" t="str">
        <f>spe_originator!A22</f>
        <v/>
      </c>
      <c r="B47" s="262" t="str">
        <f>IF($A47="spe_originator",spe_db_register!$D$6,"")</f>
        <v/>
      </c>
      <c r="C47" s="263" t="str">
        <f>IF($A47="spe_originator",spe_db_register!$D$7,"")</f>
        <v/>
      </c>
      <c r="D47" s="433" t="str">
        <f>IF($A47="spe_originator",spe_db_register!$D$8,"")</f>
        <v/>
      </c>
      <c r="E47" s="446" t="str">
        <f>IF($A47="spe_originator",spe_db_register!$D$9,"")</f>
        <v/>
      </c>
      <c r="F47" s="313" t="str">
        <f>IF($A47="spe_originator",spe_db_register!$D$11,"")</f>
        <v/>
      </c>
      <c r="G47" s="284" t="str">
        <f>spe_originator!D22</f>
        <v/>
      </c>
      <c r="H47" s="298" t="str">
        <f>LEFT(T(spe_originator!E22),255)</f>
        <v/>
      </c>
      <c r="I47" s="298" t="str">
        <f>LEFT(T(spe_originator!F22),20)</f>
        <v/>
      </c>
      <c r="J47" s="131" t="str">
        <f>LEFT(spe_originator!G22,2)</f>
        <v/>
      </c>
      <c r="K47" s="131" t="str">
        <f>TRIM(LEFT(spe_originator!H22,3))</f>
        <v/>
      </c>
      <c r="L47" s="504"/>
      <c r="M47" s="505"/>
    </row>
    <row r="48" spans="1:13" ht="10.5" customHeight="1" x14ac:dyDescent="0.25">
      <c r="A48" s="512" t="str">
        <f>spe_originator!A23</f>
        <v/>
      </c>
      <c r="B48" s="262" t="str">
        <f>IF($A48="spe_originator",spe_db_register!$D$6,"")</f>
        <v/>
      </c>
      <c r="C48" s="263" t="str">
        <f>IF($A48="spe_originator",spe_db_register!$D$7,"")</f>
        <v/>
      </c>
      <c r="D48" s="433" t="str">
        <f>IF($A48="spe_originator",spe_db_register!$D$8,"")</f>
        <v/>
      </c>
      <c r="E48" s="446" t="str">
        <f>IF($A48="spe_originator",spe_db_register!$D$9,"")</f>
        <v/>
      </c>
      <c r="F48" s="313" t="str">
        <f>IF($A48="spe_originator",spe_db_register!$D$11,"")</f>
        <v/>
      </c>
      <c r="G48" s="284" t="str">
        <f>spe_originator!D23</f>
        <v/>
      </c>
      <c r="H48" s="298" t="str">
        <f>LEFT(T(spe_originator!E23),255)</f>
        <v/>
      </c>
      <c r="I48" s="298" t="str">
        <f>LEFT(T(spe_originator!F23),20)</f>
        <v/>
      </c>
      <c r="J48" s="131" t="str">
        <f>LEFT(spe_originator!G23,2)</f>
        <v/>
      </c>
      <c r="K48" s="131" t="str">
        <f>TRIM(LEFT(spe_originator!H23,3))</f>
        <v/>
      </c>
      <c r="L48" s="504"/>
      <c r="M48" s="505"/>
    </row>
    <row r="49" spans="1:13" ht="10.5" customHeight="1" x14ac:dyDescent="0.25">
      <c r="A49" s="512" t="str">
        <f>spe_originator!A24</f>
        <v/>
      </c>
      <c r="B49" s="262" t="str">
        <f>IF($A49="spe_originator",spe_db_register!$D$6,"")</f>
        <v/>
      </c>
      <c r="C49" s="263" t="str">
        <f>IF($A49="spe_originator",spe_db_register!$D$7,"")</f>
        <v/>
      </c>
      <c r="D49" s="433" t="str">
        <f>IF($A49="spe_originator",spe_db_register!$D$8,"")</f>
        <v/>
      </c>
      <c r="E49" s="446" t="str">
        <f>IF($A49="spe_originator",spe_db_register!$D$9,"")</f>
        <v/>
      </c>
      <c r="F49" s="313" t="str">
        <f>IF($A49="spe_originator",spe_db_register!$D$11,"")</f>
        <v/>
      </c>
      <c r="G49" s="284" t="str">
        <f>spe_originator!D24</f>
        <v/>
      </c>
      <c r="H49" s="298" t="str">
        <f>LEFT(T(spe_originator!E24),255)</f>
        <v/>
      </c>
      <c r="I49" s="298" t="str">
        <f>LEFT(T(spe_originator!F24),20)</f>
        <v/>
      </c>
      <c r="J49" s="131" t="str">
        <f>LEFT(spe_originator!G24,2)</f>
        <v/>
      </c>
      <c r="K49" s="131" t="str">
        <f>TRIM(LEFT(spe_originator!H24,3))</f>
        <v/>
      </c>
      <c r="L49" s="504"/>
      <c r="M49" s="505"/>
    </row>
    <row r="50" spans="1:13" ht="10.5" customHeight="1" x14ac:dyDescent="0.25">
      <c r="A50" s="512" t="str">
        <f>spe_originator!A25</f>
        <v/>
      </c>
      <c r="B50" s="262" t="str">
        <f>IF($A50="spe_originator",spe_db_register!$D$6,"")</f>
        <v/>
      </c>
      <c r="C50" s="263" t="str">
        <f>IF($A50="spe_originator",spe_db_register!$D$7,"")</f>
        <v/>
      </c>
      <c r="D50" s="433" t="str">
        <f>IF($A50="spe_originator",spe_db_register!$D$8,"")</f>
        <v/>
      </c>
      <c r="E50" s="446" t="str">
        <f>IF($A50="spe_originator",spe_db_register!$D$9,"")</f>
        <v/>
      </c>
      <c r="F50" s="313" t="str">
        <f>IF($A50="spe_originator",spe_db_register!$D$11,"")</f>
        <v/>
      </c>
      <c r="G50" s="284" t="str">
        <f>spe_originator!D25</f>
        <v/>
      </c>
      <c r="H50" s="298" t="str">
        <f>LEFT(T(spe_originator!E25),255)</f>
        <v/>
      </c>
      <c r="I50" s="298" t="str">
        <f>LEFT(T(spe_originator!F25),20)</f>
        <v/>
      </c>
      <c r="J50" s="131" t="str">
        <f>LEFT(spe_originator!G25,2)</f>
        <v/>
      </c>
      <c r="K50" s="131" t="str">
        <f>TRIM(LEFT(spe_originator!H25,3))</f>
        <v/>
      </c>
      <c r="L50" s="504"/>
      <c r="M50" s="505"/>
    </row>
    <row r="51" spans="1:13" ht="10.5" customHeight="1" thickBot="1" x14ac:dyDescent="0.3">
      <c r="A51" s="513" t="str">
        <f>spe_originator!A26</f>
        <v/>
      </c>
      <c r="B51" s="264" t="str">
        <f>IF($A51="spe_originator",spe_db_register!$D$6,"")</f>
        <v/>
      </c>
      <c r="C51" s="265" t="str">
        <f>IF($A51="spe_originator",spe_db_register!$D$7,"")</f>
        <v/>
      </c>
      <c r="D51" s="434" t="str">
        <f>IF($A51="spe_originator",spe_db_register!$D$8,"")</f>
        <v/>
      </c>
      <c r="E51" s="447" t="str">
        <f>IF($A51="spe_originator",spe_db_register!$D$9,"")</f>
        <v/>
      </c>
      <c r="F51" s="314" t="str">
        <f>IF($A51="spe_originator",spe_db_register!$D$11,"")</f>
        <v/>
      </c>
      <c r="G51" s="285" t="str">
        <f>spe_originator!D26</f>
        <v/>
      </c>
      <c r="H51" s="299" t="str">
        <f>LEFT(T(spe_originator!E26),255)</f>
        <v/>
      </c>
      <c r="I51" s="299" t="str">
        <f>LEFT(T(spe_originator!F26),20)</f>
        <v/>
      </c>
      <c r="J51" s="132" t="str">
        <f>LEFT(spe_originator!G26,2)</f>
        <v/>
      </c>
      <c r="K51" s="132" t="str">
        <f>TRIM(LEFT(spe_originator!H26,3))</f>
        <v/>
      </c>
      <c r="L51" s="507"/>
      <c r="M51" s="508"/>
    </row>
    <row r="52" spans="1:13" ht="10.5" customHeight="1" thickTop="1" x14ac:dyDescent="0.25">
      <c r="A52" s="514" t="str">
        <f>spe_consolidator!A2</f>
        <v/>
      </c>
      <c r="B52" s="266" t="str">
        <f>IF($A52="spe_consolidator",spe_db_register!$D$6,"")</f>
        <v/>
      </c>
      <c r="C52" s="267" t="str">
        <f>IF($A52="spe_consolidator",spe_db_register!$D$7,"")</f>
        <v/>
      </c>
      <c r="D52" s="435" t="str">
        <f>IF($A52="spe_consolidator",spe_db_register!$D$8,"")</f>
        <v/>
      </c>
      <c r="E52" s="448" t="str">
        <f>IF($A52="spe_consolidator",spe_db_register!$D$9,"")</f>
        <v/>
      </c>
      <c r="F52" s="315" t="str">
        <f>IF($A52="spe_consolidator",spe_db_register!$D$11,"")</f>
        <v/>
      </c>
      <c r="G52" s="286" t="str">
        <f>spe_consolidator!D2</f>
        <v/>
      </c>
      <c r="H52" s="300" t="str">
        <f>LEFT(T(spe_consolidator!E2),255)</f>
        <v/>
      </c>
      <c r="I52" s="300" t="str">
        <f>LEFT(T(spe_consolidator!F2),20)</f>
        <v/>
      </c>
      <c r="J52" s="137" t="str">
        <f>LEFT(spe_consolidator!G2,2)</f>
        <v/>
      </c>
      <c r="K52" s="137" t="str">
        <f>TRIM(LEFT(spe_consolidator!H2,3))</f>
        <v/>
      </c>
      <c r="L52" s="510"/>
      <c r="M52" s="511"/>
    </row>
    <row r="53" spans="1:13" ht="10.5" customHeight="1" x14ac:dyDescent="0.25">
      <c r="A53" s="515" t="str">
        <f>spe_consolidator!A3</f>
        <v/>
      </c>
      <c r="B53" s="268" t="str">
        <f>IF($A53="spe_consolidator",spe_db_register!$D$6,"")</f>
        <v/>
      </c>
      <c r="C53" s="269" t="str">
        <f>IF($A53="spe_consolidator",spe_db_register!$D$7,"")</f>
        <v/>
      </c>
      <c r="D53" s="436" t="str">
        <f>IF($A53="spe_consolidator",spe_db_register!$D$8,"")</f>
        <v/>
      </c>
      <c r="E53" s="449" t="str">
        <f>IF($A53="spe_consolidator",spe_db_register!$D$9,"")</f>
        <v/>
      </c>
      <c r="F53" s="316" t="str">
        <f>IF($A53="spe_consolidator",spe_db_register!$D$11,"")</f>
        <v/>
      </c>
      <c r="G53" s="287" t="str">
        <f>spe_consolidator!D3</f>
        <v/>
      </c>
      <c r="H53" s="301" t="str">
        <f>LEFT(T(spe_consolidator!E3),255)</f>
        <v/>
      </c>
      <c r="I53" s="301" t="str">
        <f>LEFT(T(spe_consolidator!F3),20)</f>
        <v/>
      </c>
      <c r="J53" s="138" t="str">
        <f>LEFT(spe_consolidator!G3,2)</f>
        <v/>
      </c>
      <c r="K53" s="138" t="str">
        <f>TRIM(LEFT(spe_consolidator!H3,3))</f>
        <v/>
      </c>
      <c r="L53" s="504"/>
      <c r="M53" s="505"/>
    </row>
    <row r="54" spans="1:13" ht="10.5" customHeight="1" x14ac:dyDescent="0.25">
      <c r="A54" s="515" t="str">
        <f>spe_consolidator!A4</f>
        <v/>
      </c>
      <c r="B54" s="268" t="str">
        <f>IF($A54="spe_consolidator",spe_db_register!$D$6,"")</f>
        <v/>
      </c>
      <c r="C54" s="269" t="str">
        <f>IF($A54="spe_consolidator",spe_db_register!$D$7,"")</f>
        <v/>
      </c>
      <c r="D54" s="436" t="str">
        <f>IF($A54="spe_consolidator",spe_db_register!$D$8,"")</f>
        <v/>
      </c>
      <c r="E54" s="449" t="str">
        <f>IF($A54="spe_consolidator",spe_db_register!$D$9,"")</f>
        <v/>
      </c>
      <c r="F54" s="316" t="str">
        <f>IF($A54="spe_consolidator",spe_db_register!$D$11,"")</f>
        <v/>
      </c>
      <c r="G54" s="287" t="str">
        <f>spe_consolidator!D4</f>
        <v/>
      </c>
      <c r="H54" s="301" t="str">
        <f>LEFT(T(spe_consolidator!E4),255)</f>
        <v/>
      </c>
      <c r="I54" s="301" t="str">
        <f>LEFT(T(spe_consolidator!F4),20)</f>
        <v/>
      </c>
      <c r="J54" s="138" t="str">
        <f>LEFT(spe_consolidator!G4,2)</f>
        <v/>
      </c>
      <c r="K54" s="138" t="str">
        <f>TRIM(LEFT(spe_consolidator!H4,3))</f>
        <v/>
      </c>
      <c r="L54" s="504"/>
      <c r="M54" s="505"/>
    </row>
    <row r="55" spans="1:13" ht="10.5" customHeight="1" x14ac:dyDescent="0.25">
      <c r="A55" s="515" t="str">
        <f>spe_consolidator!A5</f>
        <v/>
      </c>
      <c r="B55" s="268" t="str">
        <f>IF($A55="spe_consolidator",spe_db_register!$D$6,"")</f>
        <v/>
      </c>
      <c r="C55" s="269" t="str">
        <f>IF($A55="spe_consolidator",spe_db_register!$D$7,"")</f>
        <v/>
      </c>
      <c r="D55" s="436" t="str">
        <f>IF($A55="spe_consolidator",spe_db_register!$D$8,"")</f>
        <v/>
      </c>
      <c r="E55" s="449" t="str">
        <f>IF($A55="spe_consolidator",spe_db_register!$D$9,"")</f>
        <v/>
      </c>
      <c r="F55" s="316" t="str">
        <f>IF($A55="spe_consolidator",spe_db_register!$D$11,"")</f>
        <v/>
      </c>
      <c r="G55" s="287" t="str">
        <f>spe_consolidator!D5</f>
        <v/>
      </c>
      <c r="H55" s="301" t="str">
        <f>LEFT(T(spe_consolidator!E5),255)</f>
        <v/>
      </c>
      <c r="I55" s="301" t="str">
        <f>LEFT(T(spe_consolidator!F5),20)</f>
        <v/>
      </c>
      <c r="J55" s="138" t="str">
        <f>LEFT(spe_consolidator!G5,2)</f>
        <v/>
      </c>
      <c r="K55" s="138" t="str">
        <f>TRIM(LEFT(spe_consolidator!H5,3))</f>
        <v/>
      </c>
      <c r="L55" s="504"/>
      <c r="M55" s="505"/>
    </row>
    <row r="56" spans="1:13" ht="10.5" customHeight="1" thickBot="1" x14ac:dyDescent="0.3">
      <c r="A56" s="516" t="str">
        <f>spe_consolidator!A6</f>
        <v/>
      </c>
      <c r="B56" s="270" t="str">
        <f>IF($A56="spe_consolidator",spe_db_register!$D$6,"")</f>
        <v/>
      </c>
      <c r="C56" s="271" t="str">
        <f>IF($A56="spe_consolidator",spe_db_register!$D$7,"")</f>
        <v/>
      </c>
      <c r="D56" s="437" t="str">
        <f>IF($A56="spe_consolidator",spe_db_register!$D$8,"")</f>
        <v/>
      </c>
      <c r="E56" s="450" t="str">
        <f>IF($A56="spe_consolidator",spe_db_register!$D$9,"")</f>
        <v/>
      </c>
      <c r="F56" s="317" t="str">
        <f>IF($A56="spe_consolidator",spe_db_register!$D$11,"")</f>
        <v/>
      </c>
      <c r="G56" s="288" t="str">
        <f>spe_consolidator!D6</f>
        <v/>
      </c>
      <c r="H56" s="302" t="str">
        <f>LEFT(T(spe_consolidator!E6),255)</f>
        <v/>
      </c>
      <c r="I56" s="302" t="str">
        <f>LEFT(T(spe_consolidator!F6),20)</f>
        <v/>
      </c>
      <c r="J56" s="139" t="str">
        <f>LEFT(spe_consolidator!G6,2)</f>
        <v/>
      </c>
      <c r="K56" s="139" t="str">
        <f>TRIM(LEFT(spe_consolidator!H6,3))</f>
        <v/>
      </c>
      <c r="L56" s="507"/>
      <c r="M56" s="508"/>
    </row>
    <row r="57" spans="1:13" ht="10.5" customHeight="1" thickTop="1" x14ac:dyDescent="0.25">
      <c r="A57" s="517" t="str">
        <f>spe_nci!A2</f>
        <v/>
      </c>
      <c r="B57" s="272" t="str">
        <f>IF($A57="spe_nci",spe_db_register!$D$6,"")</f>
        <v/>
      </c>
      <c r="C57" s="273" t="str">
        <f>IF($A57="spe_nci",spe_db_register!$D$7,"")</f>
        <v/>
      </c>
      <c r="D57" s="438" t="str">
        <f>IF($A57="spe_nci",spe_db_register!$D$8,"")</f>
        <v/>
      </c>
      <c r="E57" s="451" t="str">
        <f>IF($A57="spe_nci",spe_db_register!$D$9,"")</f>
        <v/>
      </c>
      <c r="F57" s="318" t="str">
        <f>IF($A57="spe_nci",spe_db_register!$D$11,"")</f>
        <v/>
      </c>
      <c r="G57" s="289" t="str">
        <f>spe_nci!D2</f>
        <v/>
      </c>
      <c r="H57" s="303" t="str">
        <f>LEFT(T(spe_nci!E2),255)</f>
        <v/>
      </c>
      <c r="I57" s="303" t="str">
        <f>LEFT(T(spe_nci!F2),20)</f>
        <v/>
      </c>
      <c r="J57" s="140" t="str">
        <f>LEFT(spe_nci!G2,2)</f>
        <v/>
      </c>
      <c r="K57" s="140" t="str">
        <f>TRIM(LEFT(spe_nci!H2,3))</f>
        <v/>
      </c>
      <c r="L57" s="510"/>
      <c r="M57" s="511"/>
    </row>
    <row r="58" spans="1:13" ht="10.5" customHeight="1" x14ac:dyDescent="0.25">
      <c r="A58" s="518" t="str">
        <f>spe_nci!A3</f>
        <v/>
      </c>
      <c r="B58" s="274" t="str">
        <f>IF($A58="spe_nci",spe_db_register!$D$6,"")</f>
        <v/>
      </c>
      <c r="C58" s="275" t="str">
        <f>IF($A58="spe_nci",spe_db_register!$D$7,"")</f>
        <v/>
      </c>
      <c r="D58" s="439" t="str">
        <f>IF($A58="spe_nci",spe_db_register!$D$8,"")</f>
        <v/>
      </c>
      <c r="E58" s="452" t="str">
        <f>IF($A58="spe_nci",spe_db_register!$D$9,"")</f>
        <v/>
      </c>
      <c r="F58" s="319" t="str">
        <f>IF($A58="spe_nci",spe_db_register!$D$11,"")</f>
        <v/>
      </c>
      <c r="G58" s="290" t="str">
        <f>spe_nci!D3</f>
        <v/>
      </c>
      <c r="H58" s="304" t="str">
        <f>LEFT(T(spe_nci!E3),255)</f>
        <v/>
      </c>
      <c r="I58" s="304" t="str">
        <f>LEFT(T(spe_nci!F3),20)</f>
        <v/>
      </c>
      <c r="J58" s="141" t="str">
        <f>LEFT(spe_nci!G3,2)</f>
        <v/>
      </c>
      <c r="K58" s="141" t="str">
        <f>TRIM(LEFT(spe_nci!H3,3))</f>
        <v/>
      </c>
      <c r="L58" s="504"/>
      <c r="M58" s="505"/>
    </row>
    <row r="59" spans="1:13" ht="10.5" customHeight="1" x14ac:dyDescent="0.25">
      <c r="A59" s="518" t="str">
        <f>spe_nci!A4</f>
        <v/>
      </c>
      <c r="B59" s="274" t="str">
        <f>IF($A59="spe_nci",spe_db_register!$D$6,"")</f>
        <v/>
      </c>
      <c r="C59" s="275" t="str">
        <f>IF($A59="spe_nci",spe_db_register!$D$7,"")</f>
        <v/>
      </c>
      <c r="D59" s="439" t="str">
        <f>IF($A59="spe_nci",spe_db_register!$D$8,"")</f>
        <v/>
      </c>
      <c r="E59" s="452" t="str">
        <f>IF($A59="spe_nci",spe_db_register!$D$9,"")</f>
        <v/>
      </c>
      <c r="F59" s="319" t="str">
        <f>IF($A59="spe_nci",spe_db_register!$D$11,"")</f>
        <v/>
      </c>
      <c r="G59" s="290" t="str">
        <f>spe_nci!D4</f>
        <v/>
      </c>
      <c r="H59" s="304" t="str">
        <f>LEFT(T(spe_nci!E4),255)</f>
        <v/>
      </c>
      <c r="I59" s="304" t="str">
        <f>LEFT(T(spe_nci!F4),20)</f>
        <v/>
      </c>
      <c r="J59" s="141" t="str">
        <f>LEFT(spe_nci!G4,2)</f>
        <v/>
      </c>
      <c r="K59" s="141" t="str">
        <f>TRIM(LEFT(spe_nci!H4,3))</f>
        <v/>
      </c>
      <c r="L59" s="504"/>
      <c r="M59" s="505"/>
    </row>
    <row r="60" spans="1:13" ht="10.5" customHeight="1" x14ac:dyDescent="0.25">
      <c r="A60" s="518" t="str">
        <f>spe_nci!A5</f>
        <v/>
      </c>
      <c r="B60" s="274" t="str">
        <f>IF($A60="spe_nci",spe_db_register!$D$6,"")</f>
        <v/>
      </c>
      <c r="C60" s="275" t="str">
        <f>IF($A60="spe_nci",spe_db_register!$D$7,"")</f>
        <v/>
      </c>
      <c r="D60" s="439" t="str">
        <f>IF($A60="spe_nci",spe_db_register!$D$8,"")</f>
        <v/>
      </c>
      <c r="E60" s="452" t="str">
        <f>IF($A60="spe_nci",spe_db_register!$D$9,"")</f>
        <v/>
      </c>
      <c r="F60" s="319" t="str">
        <f>IF($A60="spe_nci",spe_db_register!$D$11,"")</f>
        <v/>
      </c>
      <c r="G60" s="290" t="str">
        <f>spe_nci!D5</f>
        <v/>
      </c>
      <c r="H60" s="304" t="str">
        <f>LEFT(T(spe_nci!E5),255)</f>
        <v/>
      </c>
      <c r="I60" s="304" t="str">
        <f>LEFT(T(spe_nci!F5),20)</f>
        <v/>
      </c>
      <c r="J60" s="141" t="str">
        <f>LEFT(spe_nci!G5,2)</f>
        <v/>
      </c>
      <c r="K60" s="141" t="str">
        <f>TRIM(LEFT(spe_nci!H5,3))</f>
        <v/>
      </c>
      <c r="L60" s="504"/>
      <c r="M60" s="505"/>
    </row>
    <row r="61" spans="1:13" ht="10.5" customHeight="1" x14ac:dyDescent="0.25">
      <c r="A61" s="518" t="str">
        <f>spe_nci!A6</f>
        <v/>
      </c>
      <c r="B61" s="274" t="str">
        <f>IF($A61="spe_nci",spe_db_register!$D$6,"")</f>
        <v/>
      </c>
      <c r="C61" s="275" t="str">
        <f>IF($A61="spe_nci",spe_db_register!$D$7,"")</f>
        <v/>
      </c>
      <c r="D61" s="439" t="str">
        <f>IF($A61="spe_nci",spe_db_register!$D$8,"")</f>
        <v/>
      </c>
      <c r="E61" s="452" t="str">
        <f>IF($A61="spe_nci",spe_db_register!$D$9,"")</f>
        <v/>
      </c>
      <c r="F61" s="319" t="str">
        <f>IF($A61="spe_nci",spe_db_register!$D$11,"")</f>
        <v/>
      </c>
      <c r="G61" s="290" t="str">
        <f>spe_nci!D6</f>
        <v/>
      </c>
      <c r="H61" s="304" t="str">
        <f>LEFT(T(spe_nci!E6),255)</f>
        <v/>
      </c>
      <c r="I61" s="304" t="str">
        <f>LEFT(T(spe_nci!F6),20)</f>
        <v/>
      </c>
      <c r="J61" s="141" t="str">
        <f>LEFT(spe_nci!G6,2)</f>
        <v/>
      </c>
      <c r="K61" s="141" t="str">
        <f>TRIM(LEFT(spe_nci!H6,3))</f>
        <v/>
      </c>
      <c r="L61" s="504"/>
      <c r="M61" s="505"/>
    </row>
    <row r="62" spans="1:13" ht="10.5" customHeight="1" x14ac:dyDescent="0.25">
      <c r="A62" s="518" t="str">
        <f>spe_nci!A7</f>
        <v/>
      </c>
      <c r="B62" s="274" t="str">
        <f>IF($A62="spe_nci",spe_db_register!$D$6,"")</f>
        <v/>
      </c>
      <c r="C62" s="275" t="str">
        <f>IF($A62="spe_nci",spe_db_register!$D$7,"")</f>
        <v/>
      </c>
      <c r="D62" s="439" t="str">
        <f>IF($A62="spe_nci",spe_db_register!$D$8,"")</f>
        <v/>
      </c>
      <c r="E62" s="452" t="str">
        <f>IF($A62="spe_nci",spe_db_register!$D$9,"")</f>
        <v/>
      </c>
      <c r="F62" s="319" t="str">
        <f>IF($A62="spe_nci",spe_db_register!$D$11,"")</f>
        <v/>
      </c>
      <c r="G62" s="290" t="str">
        <f>spe_nci!D7</f>
        <v/>
      </c>
      <c r="H62" s="304" t="str">
        <f>LEFT(T(spe_nci!E7),255)</f>
        <v/>
      </c>
      <c r="I62" s="304" t="str">
        <f>LEFT(T(spe_nci!F7),20)</f>
        <v/>
      </c>
      <c r="J62" s="141" t="str">
        <f>LEFT(spe_nci!G7,2)</f>
        <v/>
      </c>
      <c r="K62" s="141" t="str">
        <f>TRIM(LEFT(spe_nci!H7,3))</f>
        <v/>
      </c>
      <c r="L62" s="504"/>
      <c r="M62" s="505"/>
    </row>
    <row r="63" spans="1:13" ht="10.5" customHeight="1" x14ac:dyDescent="0.25">
      <c r="A63" s="518" t="str">
        <f>spe_nci!A8</f>
        <v/>
      </c>
      <c r="B63" s="274" t="str">
        <f>IF($A63="spe_nci",spe_db_register!$D$6,"")</f>
        <v/>
      </c>
      <c r="C63" s="275" t="str">
        <f>IF($A63="spe_nci",spe_db_register!$D$7,"")</f>
        <v/>
      </c>
      <c r="D63" s="439" t="str">
        <f>IF($A63="spe_nci",spe_db_register!$D$8,"")</f>
        <v/>
      </c>
      <c r="E63" s="452" t="str">
        <f>IF($A63="spe_nci",spe_db_register!$D$9,"")</f>
        <v/>
      </c>
      <c r="F63" s="319" t="str">
        <f>IF($A63="spe_nci",spe_db_register!$D$11,"")</f>
        <v/>
      </c>
      <c r="G63" s="290" t="str">
        <f>spe_nci!D8</f>
        <v/>
      </c>
      <c r="H63" s="304" t="str">
        <f>LEFT(T(spe_nci!E8),255)</f>
        <v/>
      </c>
      <c r="I63" s="304" t="str">
        <f>LEFT(T(spe_nci!F8),20)</f>
        <v/>
      </c>
      <c r="J63" s="141" t="str">
        <f>LEFT(spe_nci!G8,2)</f>
        <v/>
      </c>
      <c r="K63" s="141" t="str">
        <f>TRIM(LEFT(spe_nci!H8,3))</f>
        <v/>
      </c>
      <c r="L63" s="504"/>
      <c r="M63" s="505"/>
    </row>
    <row r="64" spans="1:13" ht="10.5" customHeight="1" x14ac:dyDescent="0.25">
      <c r="A64" s="518" t="str">
        <f>spe_nci!A9</f>
        <v/>
      </c>
      <c r="B64" s="274" t="str">
        <f>IF($A64="spe_nci",spe_db_register!$D$6,"")</f>
        <v/>
      </c>
      <c r="C64" s="275" t="str">
        <f>IF($A64="spe_nci",spe_db_register!$D$7,"")</f>
        <v/>
      </c>
      <c r="D64" s="439" t="str">
        <f>IF($A64="spe_nci",spe_db_register!$D$8,"")</f>
        <v/>
      </c>
      <c r="E64" s="452" t="str">
        <f>IF($A64="spe_nci",spe_db_register!$D$9,"")</f>
        <v/>
      </c>
      <c r="F64" s="319" t="str">
        <f>IF($A64="spe_nci",spe_db_register!$D$11,"")</f>
        <v/>
      </c>
      <c r="G64" s="290" t="str">
        <f>spe_nci!D9</f>
        <v/>
      </c>
      <c r="H64" s="304" t="str">
        <f>LEFT(T(spe_nci!E9),255)</f>
        <v/>
      </c>
      <c r="I64" s="304" t="str">
        <f>LEFT(T(spe_nci!F9),20)</f>
        <v/>
      </c>
      <c r="J64" s="141" t="str">
        <f>LEFT(spe_nci!G9,2)</f>
        <v/>
      </c>
      <c r="K64" s="141" t="str">
        <f>TRIM(LEFT(spe_nci!H9,3))</f>
        <v/>
      </c>
      <c r="L64" s="504"/>
      <c r="M64" s="505"/>
    </row>
    <row r="65" spans="1:13" ht="10.5" customHeight="1" x14ac:dyDescent="0.25">
      <c r="A65" s="518" t="str">
        <f>spe_nci!A10</f>
        <v/>
      </c>
      <c r="B65" s="274" t="str">
        <f>IF($A65="spe_nci",spe_db_register!$D$6,"")</f>
        <v/>
      </c>
      <c r="C65" s="275" t="str">
        <f>IF($A65="spe_nci",spe_db_register!$D$7,"")</f>
        <v/>
      </c>
      <c r="D65" s="439" t="str">
        <f>IF($A65="spe_nci",spe_db_register!$D$8,"")</f>
        <v/>
      </c>
      <c r="E65" s="452" t="str">
        <f>IF($A65="spe_nci",spe_db_register!$D$9,"")</f>
        <v/>
      </c>
      <c r="F65" s="319" t="str">
        <f>IF($A65="spe_nci",spe_db_register!$D$11,"")</f>
        <v/>
      </c>
      <c r="G65" s="290" t="str">
        <f>spe_nci!D10</f>
        <v/>
      </c>
      <c r="H65" s="304" t="str">
        <f>LEFT(T(spe_nci!E10),255)</f>
        <v/>
      </c>
      <c r="I65" s="304" t="str">
        <f>LEFT(T(spe_nci!F10),20)</f>
        <v/>
      </c>
      <c r="J65" s="141" t="str">
        <f>LEFT(spe_nci!G10,2)</f>
        <v/>
      </c>
      <c r="K65" s="141" t="str">
        <f>TRIM(LEFT(spe_nci!H10,3))</f>
        <v/>
      </c>
      <c r="L65" s="504"/>
      <c r="M65" s="505"/>
    </row>
    <row r="66" spans="1:13" ht="10.5" customHeight="1" x14ac:dyDescent="0.25">
      <c r="A66" s="518" t="str">
        <f>spe_nci!A11</f>
        <v/>
      </c>
      <c r="B66" s="274" t="str">
        <f>IF($A66="spe_nci",spe_db_register!$D$6,"")</f>
        <v/>
      </c>
      <c r="C66" s="275" t="str">
        <f>IF($A66="spe_nci",spe_db_register!$D$7,"")</f>
        <v/>
      </c>
      <c r="D66" s="439" t="str">
        <f>IF($A66="spe_nci",spe_db_register!$D$8,"")</f>
        <v/>
      </c>
      <c r="E66" s="452" t="str">
        <f>IF($A66="spe_nci",spe_db_register!$D$9,"")</f>
        <v/>
      </c>
      <c r="F66" s="319" t="str">
        <f>IF($A66="spe_nci",spe_db_register!$D$11,"")</f>
        <v/>
      </c>
      <c r="G66" s="290" t="str">
        <f>spe_nci!D11</f>
        <v/>
      </c>
      <c r="H66" s="304" t="str">
        <f>LEFT(T(spe_nci!E11),255)</f>
        <v/>
      </c>
      <c r="I66" s="304" t="str">
        <f>LEFT(T(spe_nci!F11),20)</f>
        <v/>
      </c>
      <c r="J66" s="141" t="str">
        <f>LEFT(spe_nci!G11,2)</f>
        <v/>
      </c>
      <c r="K66" s="141" t="str">
        <f>TRIM(LEFT(spe_nci!H11,3))</f>
        <v/>
      </c>
      <c r="L66" s="504"/>
      <c r="M66" s="505"/>
    </row>
    <row r="67" spans="1:13" ht="10.5" customHeight="1" x14ac:dyDescent="0.25">
      <c r="A67" s="518" t="str">
        <f>spe_nci!A12</f>
        <v/>
      </c>
      <c r="B67" s="274" t="str">
        <f>IF($A67="spe_nci",spe_db_register!$D$6,"")</f>
        <v/>
      </c>
      <c r="C67" s="275" t="str">
        <f>IF($A67="spe_nci",spe_db_register!$D$7,"")</f>
        <v/>
      </c>
      <c r="D67" s="439" t="str">
        <f>IF($A67="spe_nci",spe_db_register!$D$8,"")</f>
        <v/>
      </c>
      <c r="E67" s="452" t="str">
        <f>IF($A67="spe_nci",spe_db_register!$D$9,"")</f>
        <v/>
      </c>
      <c r="F67" s="319" t="str">
        <f>IF($A67="spe_nci",spe_db_register!$D$11,"")</f>
        <v/>
      </c>
      <c r="G67" s="290" t="str">
        <f>spe_nci!D12</f>
        <v/>
      </c>
      <c r="H67" s="304" t="str">
        <f>LEFT(T(spe_nci!E12),255)</f>
        <v/>
      </c>
      <c r="I67" s="304" t="str">
        <f>LEFT(T(spe_nci!F12),20)</f>
        <v/>
      </c>
      <c r="J67" s="141" t="str">
        <f>LEFT(spe_nci!G12,2)</f>
        <v/>
      </c>
      <c r="K67" s="141" t="str">
        <f>TRIM(LEFT(spe_nci!H12,3))</f>
        <v/>
      </c>
      <c r="L67" s="504"/>
      <c r="M67" s="505"/>
    </row>
    <row r="68" spans="1:13" ht="10.5" customHeight="1" x14ac:dyDescent="0.25">
      <c r="A68" s="518" t="str">
        <f>spe_nci!A13</f>
        <v/>
      </c>
      <c r="B68" s="274" t="str">
        <f>IF($A68="spe_nci",spe_db_register!$D$6,"")</f>
        <v/>
      </c>
      <c r="C68" s="275" t="str">
        <f>IF($A68="spe_nci",spe_db_register!$D$7,"")</f>
        <v/>
      </c>
      <c r="D68" s="439" t="str">
        <f>IF($A68="spe_nci",spe_db_register!$D$8,"")</f>
        <v/>
      </c>
      <c r="E68" s="452" t="str">
        <f>IF($A68="spe_nci",spe_db_register!$D$9,"")</f>
        <v/>
      </c>
      <c r="F68" s="319" t="str">
        <f>IF($A68="spe_nci",spe_db_register!$D$11,"")</f>
        <v/>
      </c>
      <c r="G68" s="290" t="str">
        <f>spe_nci!D13</f>
        <v/>
      </c>
      <c r="H68" s="304" t="str">
        <f>LEFT(T(spe_nci!E13),255)</f>
        <v/>
      </c>
      <c r="I68" s="304" t="str">
        <f>LEFT(T(spe_nci!F13),20)</f>
        <v/>
      </c>
      <c r="J68" s="141" t="str">
        <f>LEFT(spe_nci!G13,2)</f>
        <v/>
      </c>
      <c r="K68" s="141" t="str">
        <f>TRIM(LEFT(spe_nci!H13,3))</f>
        <v/>
      </c>
      <c r="L68" s="504"/>
      <c r="M68" s="505"/>
    </row>
    <row r="69" spans="1:13" ht="10.5" customHeight="1" x14ac:dyDescent="0.25">
      <c r="A69" s="518" t="str">
        <f>spe_nci!A14</f>
        <v/>
      </c>
      <c r="B69" s="274" t="str">
        <f>IF($A69="spe_nci",spe_db_register!$D$6,"")</f>
        <v/>
      </c>
      <c r="C69" s="275" t="str">
        <f>IF($A69="spe_nci",spe_db_register!$D$7,"")</f>
        <v/>
      </c>
      <c r="D69" s="439" t="str">
        <f>IF($A69="spe_nci",spe_db_register!$D$8,"")</f>
        <v/>
      </c>
      <c r="E69" s="452" t="str">
        <f>IF($A69="spe_nci",spe_db_register!$D$9,"")</f>
        <v/>
      </c>
      <c r="F69" s="319" t="str">
        <f>IF($A69="spe_nci",spe_db_register!$D$11,"")</f>
        <v/>
      </c>
      <c r="G69" s="290" t="str">
        <f>spe_nci!D14</f>
        <v/>
      </c>
      <c r="H69" s="304" t="str">
        <f>LEFT(T(spe_nci!E14),255)</f>
        <v/>
      </c>
      <c r="I69" s="304" t="str">
        <f>LEFT(T(spe_nci!F14),20)</f>
        <v/>
      </c>
      <c r="J69" s="141" t="str">
        <f>LEFT(spe_nci!G14,2)</f>
        <v/>
      </c>
      <c r="K69" s="141" t="str">
        <f>TRIM(LEFT(spe_nci!H14,3))</f>
        <v/>
      </c>
      <c r="L69" s="504"/>
      <c r="M69" s="505"/>
    </row>
    <row r="70" spans="1:13" ht="10.5" customHeight="1" x14ac:dyDescent="0.25">
      <c r="A70" s="518" t="str">
        <f>spe_nci!A15</f>
        <v/>
      </c>
      <c r="B70" s="274" t="str">
        <f>IF($A70="spe_nci",spe_db_register!$D$6,"")</f>
        <v/>
      </c>
      <c r="C70" s="275" t="str">
        <f>IF($A70="spe_nci",spe_db_register!$D$7,"")</f>
        <v/>
      </c>
      <c r="D70" s="439" t="str">
        <f>IF($A70="spe_nci",spe_db_register!$D$8,"")</f>
        <v/>
      </c>
      <c r="E70" s="452" t="str">
        <f>IF($A70="spe_nci",spe_db_register!$D$9,"")</f>
        <v/>
      </c>
      <c r="F70" s="319" t="str">
        <f>IF($A70="spe_nci",spe_db_register!$D$11,"")</f>
        <v/>
      </c>
      <c r="G70" s="290" t="str">
        <f>spe_nci!D15</f>
        <v/>
      </c>
      <c r="H70" s="304" t="str">
        <f>LEFT(T(spe_nci!E15),255)</f>
        <v/>
      </c>
      <c r="I70" s="304" t="str">
        <f>LEFT(T(spe_nci!F15),20)</f>
        <v/>
      </c>
      <c r="J70" s="141" t="str">
        <f>LEFT(spe_nci!G15,2)</f>
        <v/>
      </c>
      <c r="K70" s="141" t="str">
        <f>TRIM(LEFT(spe_nci!H15,3))</f>
        <v/>
      </c>
      <c r="L70" s="504"/>
      <c r="M70" s="505"/>
    </row>
    <row r="71" spans="1:13" ht="10.5" customHeight="1" x14ac:dyDescent="0.25">
      <c r="A71" s="518" t="str">
        <f>spe_nci!A16</f>
        <v/>
      </c>
      <c r="B71" s="274" t="str">
        <f>IF($A71="spe_nci",spe_db_register!$D$6,"")</f>
        <v/>
      </c>
      <c r="C71" s="275" t="str">
        <f>IF($A71="spe_nci",spe_db_register!$D$7,"")</f>
        <v/>
      </c>
      <c r="D71" s="439" t="str">
        <f>IF($A71="spe_nci",spe_db_register!$D$8,"")</f>
        <v/>
      </c>
      <c r="E71" s="452" t="str">
        <f>IF($A71="spe_nci",spe_db_register!$D$9,"")</f>
        <v/>
      </c>
      <c r="F71" s="319" t="str">
        <f>IF($A71="spe_nci",spe_db_register!$D$11,"")</f>
        <v/>
      </c>
      <c r="G71" s="290" t="str">
        <f>spe_nci!D16</f>
        <v/>
      </c>
      <c r="H71" s="304" t="str">
        <f>LEFT(T(spe_nci!E16),255)</f>
        <v/>
      </c>
      <c r="I71" s="304" t="str">
        <f>LEFT(T(spe_nci!F16),20)</f>
        <v/>
      </c>
      <c r="J71" s="141" t="str">
        <f>LEFT(spe_nci!G16,2)</f>
        <v/>
      </c>
      <c r="K71" s="141" t="str">
        <f>TRIM(LEFT(spe_nci!H16,3))</f>
        <v/>
      </c>
      <c r="L71" s="504"/>
      <c r="M71" s="505"/>
    </row>
    <row r="72" spans="1:13" ht="10.5" customHeight="1" x14ac:dyDescent="0.25">
      <c r="A72" s="518" t="str">
        <f>spe_nci!A17</f>
        <v/>
      </c>
      <c r="B72" s="274" t="str">
        <f>IF($A72="spe_nci",spe_db_register!$D$6,"")</f>
        <v/>
      </c>
      <c r="C72" s="275" t="str">
        <f>IF($A72="spe_nci",spe_db_register!$D$7,"")</f>
        <v/>
      </c>
      <c r="D72" s="439" t="str">
        <f>IF($A72="spe_nci",spe_db_register!$D$8,"")</f>
        <v/>
      </c>
      <c r="E72" s="452" t="str">
        <f>IF($A72="spe_nci",spe_db_register!$D$9,"")</f>
        <v/>
      </c>
      <c r="F72" s="319" t="str">
        <f>IF($A72="spe_nci",spe_db_register!$D$11,"")</f>
        <v/>
      </c>
      <c r="G72" s="290" t="str">
        <f>spe_nci!D17</f>
        <v/>
      </c>
      <c r="H72" s="304" t="str">
        <f>LEFT(T(spe_nci!E17),255)</f>
        <v/>
      </c>
      <c r="I72" s="304" t="str">
        <f>LEFT(T(spe_nci!F17),20)</f>
        <v/>
      </c>
      <c r="J72" s="141" t="str">
        <f>LEFT(spe_nci!G17,2)</f>
        <v/>
      </c>
      <c r="K72" s="141" t="str">
        <f>TRIM(LEFT(spe_nci!H17,3))</f>
        <v/>
      </c>
      <c r="L72" s="504"/>
      <c r="M72" s="505"/>
    </row>
    <row r="73" spans="1:13" ht="10.5" customHeight="1" x14ac:dyDescent="0.25">
      <c r="A73" s="518" t="str">
        <f>spe_nci!A18</f>
        <v/>
      </c>
      <c r="B73" s="274" t="str">
        <f>IF($A73="spe_nci",spe_db_register!$D$6,"")</f>
        <v/>
      </c>
      <c r="C73" s="275" t="str">
        <f>IF($A73="spe_nci",spe_db_register!$D$7,"")</f>
        <v/>
      </c>
      <c r="D73" s="439" t="str">
        <f>IF($A73="spe_nci",spe_db_register!$D$8,"")</f>
        <v/>
      </c>
      <c r="E73" s="452" t="str">
        <f>IF($A73="spe_nci",spe_db_register!$D$9,"")</f>
        <v/>
      </c>
      <c r="F73" s="319" t="str">
        <f>IF($A73="spe_nci",spe_db_register!$D$11,"")</f>
        <v/>
      </c>
      <c r="G73" s="290" t="str">
        <f>spe_nci!D18</f>
        <v/>
      </c>
      <c r="H73" s="304" t="str">
        <f>LEFT(T(spe_nci!E18),255)</f>
        <v/>
      </c>
      <c r="I73" s="304" t="str">
        <f>LEFT(T(spe_nci!F18),20)</f>
        <v/>
      </c>
      <c r="J73" s="141" t="str">
        <f>LEFT(spe_nci!G18,2)</f>
        <v/>
      </c>
      <c r="K73" s="141" t="str">
        <f>TRIM(LEFT(spe_nci!H18,3))</f>
        <v/>
      </c>
      <c r="L73" s="504"/>
      <c r="M73" s="505"/>
    </row>
    <row r="74" spans="1:13" ht="10.5" customHeight="1" x14ac:dyDescent="0.25">
      <c r="A74" s="518" t="str">
        <f>spe_nci!A19</f>
        <v/>
      </c>
      <c r="B74" s="274" t="str">
        <f>IF($A74="spe_nci",spe_db_register!$D$6,"")</f>
        <v/>
      </c>
      <c r="C74" s="275" t="str">
        <f>IF($A74="spe_nci",spe_db_register!$D$7,"")</f>
        <v/>
      </c>
      <c r="D74" s="439" t="str">
        <f>IF($A74="spe_nci",spe_db_register!$D$8,"")</f>
        <v/>
      </c>
      <c r="E74" s="452" t="str">
        <f>IF($A74="spe_nci",spe_db_register!$D$9,"")</f>
        <v/>
      </c>
      <c r="F74" s="319" t="str">
        <f>IF($A74="spe_nci",spe_db_register!$D$11,"")</f>
        <v/>
      </c>
      <c r="G74" s="290" t="str">
        <f>spe_nci!D19</f>
        <v/>
      </c>
      <c r="H74" s="304" t="str">
        <f>LEFT(T(spe_nci!E19),255)</f>
        <v/>
      </c>
      <c r="I74" s="304" t="str">
        <f>LEFT(T(spe_nci!F19),20)</f>
        <v/>
      </c>
      <c r="J74" s="141" t="str">
        <f>LEFT(spe_nci!G19,2)</f>
        <v/>
      </c>
      <c r="K74" s="141" t="str">
        <f>TRIM(LEFT(spe_nci!H19,3))</f>
        <v/>
      </c>
      <c r="L74" s="504"/>
      <c r="M74" s="505"/>
    </row>
    <row r="75" spans="1:13" ht="10.5" customHeight="1" x14ac:dyDescent="0.25">
      <c r="A75" s="518" t="str">
        <f>spe_nci!A20</f>
        <v/>
      </c>
      <c r="B75" s="274" t="str">
        <f>IF($A75="spe_nci",spe_db_register!$D$6,"")</f>
        <v/>
      </c>
      <c r="C75" s="275" t="str">
        <f>IF($A75="spe_nci",spe_db_register!$D$7,"")</f>
        <v/>
      </c>
      <c r="D75" s="439" t="str">
        <f>IF($A75="spe_nci",spe_db_register!$D$8,"")</f>
        <v/>
      </c>
      <c r="E75" s="452" t="str">
        <f>IF($A75="spe_nci",spe_db_register!$D$9,"")</f>
        <v/>
      </c>
      <c r="F75" s="319" t="str">
        <f>IF($A75="spe_nci",spe_db_register!$D$11,"")</f>
        <v/>
      </c>
      <c r="G75" s="290" t="str">
        <f>spe_nci!D20</f>
        <v/>
      </c>
      <c r="H75" s="304" t="str">
        <f>LEFT(T(spe_nci!E20),255)</f>
        <v/>
      </c>
      <c r="I75" s="304" t="str">
        <f>LEFT(T(spe_nci!F20),20)</f>
        <v/>
      </c>
      <c r="J75" s="141" t="str">
        <f>LEFT(spe_nci!G20,2)</f>
        <v/>
      </c>
      <c r="K75" s="141" t="str">
        <f>TRIM(LEFT(spe_nci!H20,3))</f>
        <v/>
      </c>
      <c r="L75" s="504"/>
      <c r="M75" s="505"/>
    </row>
    <row r="76" spans="1:13" ht="10.5" customHeight="1" x14ac:dyDescent="0.25">
      <c r="A76" s="518" t="str">
        <f>spe_nci!A21</f>
        <v/>
      </c>
      <c r="B76" s="274" t="str">
        <f>IF($A76="spe_nci",spe_db_register!$D$6,"")</f>
        <v/>
      </c>
      <c r="C76" s="275" t="str">
        <f>IF($A76="spe_nci",spe_db_register!$D$7,"")</f>
        <v/>
      </c>
      <c r="D76" s="439" t="str">
        <f>IF($A76="spe_nci",spe_db_register!$D$8,"")</f>
        <v/>
      </c>
      <c r="E76" s="452" t="str">
        <f>IF($A76="spe_nci",spe_db_register!$D$9,"")</f>
        <v/>
      </c>
      <c r="F76" s="319" t="str">
        <f>IF($A76="spe_nci",spe_db_register!$D$11,"")</f>
        <v/>
      </c>
      <c r="G76" s="290" t="str">
        <f>spe_nci!D21</f>
        <v/>
      </c>
      <c r="H76" s="304" t="str">
        <f>LEFT(T(spe_nci!E21),255)</f>
        <v/>
      </c>
      <c r="I76" s="304" t="str">
        <f>LEFT(T(spe_nci!F21),20)</f>
        <v/>
      </c>
      <c r="J76" s="141" t="str">
        <f>LEFT(spe_nci!G21,2)</f>
        <v/>
      </c>
      <c r="K76" s="141" t="str">
        <f>TRIM(LEFT(spe_nci!H21,3))</f>
        <v/>
      </c>
      <c r="L76" s="504"/>
      <c r="M76" s="505"/>
    </row>
    <row r="77" spans="1:13" ht="10.5" customHeight="1" x14ac:dyDescent="0.25">
      <c r="A77" s="518" t="str">
        <f>spe_nci!A22</f>
        <v/>
      </c>
      <c r="B77" s="274" t="str">
        <f>IF($A77="spe_nci",spe_db_register!$D$6,"")</f>
        <v/>
      </c>
      <c r="C77" s="275" t="str">
        <f>IF($A77="spe_nci",spe_db_register!$D$7,"")</f>
        <v/>
      </c>
      <c r="D77" s="439" t="str">
        <f>IF($A77="spe_nci",spe_db_register!$D$8,"")</f>
        <v/>
      </c>
      <c r="E77" s="452" t="str">
        <f>IF($A77="spe_nci",spe_db_register!$D$9,"")</f>
        <v/>
      </c>
      <c r="F77" s="319" t="str">
        <f>IF($A77="spe_nci",spe_db_register!$D$11,"")</f>
        <v/>
      </c>
      <c r="G77" s="290" t="str">
        <f>spe_nci!D22</f>
        <v/>
      </c>
      <c r="H77" s="304" t="str">
        <f>LEFT(T(spe_nci!E22),255)</f>
        <v/>
      </c>
      <c r="I77" s="304" t="str">
        <f>LEFT(T(spe_nci!F22),20)</f>
        <v/>
      </c>
      <c r="J77" s="141" t="str">
        <f>LEFT(spe_nci!G22,2)</f>
        <v/>
      </c>
      <c r="K77" s="141" t="str">
        <f>TRIM(LEFT(spe_nci!H22,3))</f>
        <v/>
      </c>
      <c r="L77" s="504"/>
      <c r="M77" s="505"/>
    </row>
    <row r="78" spans="1:13" ht="10.5" customHeight="1" x14ac:dyDescent="0.25">
      <c r="A78" s="518" t="str">
        <f>spe_nci!A23</f>
        <v/>
      </c>
      <c r="B78" s="274" t="str">
        <f>IF($A78="spe_nci",spe_db_register!$D$6,"")</f>
        <v/>
      </c>
      <c r="C78" s="275" t="str">
        <f>IF($A78="spe_nci",spe_db_register!$D$7,"")</f>
        <v/>
      </c>
      <c r="D78" s="439" t="str">
        <f>IF($A78="spe_nci",spe_db_register!$D$8,"")</f>
        <v/>
      </c>
      <c r="E78" s="452" t="str">
        <f>IF($A78="spe_nci",spe_db_register!$D$9,"")</f>
        <v/>
      </c>
      <c r="F78" s="319" t="str">
        <f>IF($A78="spe_nci",spe_db_register!$D$11,"")</f>
        <v/>
      </c>
      <c r="G78" s="290" t="str">
        <f>spe_nci!D23</f>
        <v/>
      </c>
      <c r="H78" s="304" t="str">
        <f>LEFT(T(spe_nci!E23),255)</f>
        <v/>
      </c>
      <c r="I78" s="304" t="str">
        <f>LEFT(T(spe_nci!F23),20)</f>
        <v/>
      </c>
      <c r="J78" s="141" t="str">
        <f>LEFT(spe_nci!G23,2)</f>
        <v/>
      </c>
      <c r="K78" s="141" t="str">
        <f>TRIM(LEFT(spe_nci!H23,3))</f>
        <v/>
      </c>
      <c r="L78" s="504"/>
      <c r="M78" s="505"/>
    </row>
    <row r="79" spans="1:13" ht="10.5" customHeight="1" x14ac:dyDescent="0.25">
      <c r="A79" s="518" t="str">
        <f>spe_nci!A24</f>
        <v/>
      </c>
      <c r="B79" s="274" t="str">
        <f>IF($A79="spe_nci",spe_db_register!$D$6,"")</f>
        <v/>
      </c>
      <c r="C79" s="275" t="str">
        <f>IF($A79="spe_nci",spe_db_register!$D$7,"")</f>
        <v/>
      </c>
      <c r="D79" s="439" t="str">
        <f>IF($A79="spe_nci",spe_db_register!$D$8,"")</f>
        <v/>
      </c>
      <c r="E79" s="452" t="str">
        <f>IF($A79="spe_nci",spe_db_register!$D$9,"")</f>
        <v/>
      </c>
      <c r="F79" s="319" t="str">
        <f>IF($A79="spe_nci",spe_db_register!$D$11,"")</f>
        <v/>
      </c>
      <c r="G79" s="290" t="str">
        <f>spe_nci!D24</f>
        <v/>
      </c>
      <c r="H79" s="304" t="str">
        <f>LEFT(T(spe_nci!E24),255)</f>
        <v/>
      </c>
      <c r="I79" s="304" t="str">
        <f>LEFT(T(spe_nci!F24),20)</f>
        <v/>
      </c>
      <c r="J79" s="141" t="str">
        <f>LEFT(spe_nci!G24,2)</f>
        <v/>
      </c>
      <c r="K79" s="141" t="str">
        <f>TRIM(LEFT(spe_nci!H24,3))</f>
        <v/>
      </c>
      <c r="L79" s="504"/>
      <c r="M79" s="505"/>
    </row>
    <row r="80" spans="1:13" ht="10.5" customHeight="1" x14ac:dyDescent="0.25">
      <c r="A80" s="518" t="str">
        <f>spe_nci!A25</f>
        <v/>
      </c>
      <c r="B80" s="274" t="str">
        <f>IF($A80="spe_nci",spe_db_register!$D$6,"")</f>
        <v/>
      </c>
      <c r="C80" s="275" t="str">
        <f>IF($A80="spe_nci",spe_db_register!$D$7,"")</f>
        <v/>
      </c>
      <c r="D80" s="439" t="str">
        <f>IF($A80="spe_nci",spe_db_register!$D$8,"")</f>
        <v/>
      </c>
      <c r="E80" s="452" t="str">
        <f>IF($A80="spe_nci",spe_db_register!$D$9,"")</f>
        <v/>
      </c>
      <c r="F80" s="319" t="str">
        <f>IF($A80="spe_nci",spe_db_register!$D$11,"")</f>
        <v/>
      </c>
      <c r="G80" s="290" t="str">
        <f>spe_nci!D25</f>
        <v/>
      </c>
      <c r="H80" s="304" t="str">
        <f>LEFT(T(spe_nci!E25),255)</f>
        <v/>
      </c>
      <c r="I80" s="304" t="str">
        <f>LEFT(T(spe_nci!F25),20)</f>
        <v/>
      </c>
      <c r="J80" s="141" t="str">
        <f>LEFT(spe_nci!G25,2)</f>
        <v/>
      </c>
      <c r="K80" s="141" t="str">
        <f>TRIM(LEFT(spe_nci!H25,3))</f>
        <v/>
      </c>
      <c r="L80" s="504"/>
      <c r="M80" s="505"/>
    </row>
    <row r="81" spans="1:13" ht="10.5" customHeight="1" thickBot="1" x14ac:dyDescent="0.3">
      <c r="A81" s="519" t="str">
        <f>spe_nci!A26</f>
        <v/>
      </c>
      <c r="B81" s="276" t="str">
        <f>IF($A81="spe_nci",spe_db_register!$D$6,"")</f>
        <v/>
      </c>
      <c r="C81" s="277" t="str">
        <f>IF($A81="spe_nci",spe_db_register!$D$7,"")</f>
        <v/>
      </c>
      <c r="D81" s="440" t="str">
        <f>IF($A81="spe_nci",spe_db_register!$D$8,"")</f>
        <v/>
      </c>
      <c r="E81" s="453" t="str">
        <f>IF($A81="spe_nci",spe_db_register!$D$9,"")</f>
        <v/>
      </c>
      <c r="F81" s="320" t="str">
        <f>IF($A81="spe_nci",spe_db_register!$D$11,"")</f>
        <v/>
      </c>
      <c r="G81" s="291" t="str">
        <f>spe_nci!D26</f>
        <v/>
      </c>
      <c r="H81" s="305" t="str">
        <f>LEFT(T(spe_nci!E26),255)</f>
        <v/>
      </c>
      <c r="I81" s="305" t="str">
        <f>LEFT(T(spe_nci!F26),20)</f>
        <v/>
      </c>
      <c r="J81" s="142" t="str">
        <f>LEFT(spe_nci!G26,2)</f>
        <v/>
      </c>
      <c r="K81" s="142" t="str">
        <f>TRIM(LEFT(spe_nci!H26,3))</f>
        <v/>
      </c>
      <c r="L81" s="507"/>
      <c r="M81" s="508"/>
    </row>
    <row r="82" spans="1:13" ht="10.5" customHeight="1" thickTop="1" x14ac:dyDescent="0.25">
      <c r="A82" s="520" t="str">
        <f>spe_guarantor!A2</f>
        <v/>
      </c>
      <c r="B82" s="278" t="str">
        <f>IF($A82="spe_guarantor",spe_db_register!$D$6,"")</f>
        <v/>
      </c>
      <c r="C82" s="441" t="str">
        <f>IF($A82="spe_guarantor",spe_db_register!$D$7,"")</f>
        <v/>
      </c>
      <c r="D82" s="441" t="str">
        <f>IF($A82="spe_guarantor",spe_db_register!$D$8,"")</f>
        <v/>
      </c>
      <c r="E82" s="454" t="str">
        <f>IF($A82="spe_guarantor",spe_db_register!$D$9,"")</f>
        <v/>
      </c>
      <c r="F82" s="321" t="str">
        <f>IF($A82="spe_guarantor",spe_db_register!$D$11,"")</f>
        <v/>
      </c>
      <c r="G82" s="292" t="str">
        <f>spe_guarantor!D2</f>
        <v/>
      </c>
      <c r="H82" s="306" t="str">
        <f>LEFT(T(spe_guarantor!E2),255)</f>
        <v/>
      </c>
      <c r="I82" s="306" t="str">
        <f>LEFT(T(spe_guarantor!F2),20)</f>
        <v/>
      </c>
      <c r="J82" s="134" t="str">
        <f>LEFT(spe_guarantor!G2,2)</f>
        <v/>
      </c>
      <c r="K82" s="134" t="str">
        <f>TRIM(LEFT(spe_guarantor!H2,3))</f>
        <v/>
      </c>
      <c r="L82" s="521" t="str">
        <f>LEFT(spe_guarantor!I2,511)</f>
        <v/>
      </c>
      <c r="M82" s="522" t="str">
        <f>spe_guarantor!K2</f>
        <v/>
      </c>
    </row>
    <row r="83" spans="1:13" ht="10.5" customHeight="1" x14ac:dyDescent="0.25">
      <c r="A83" s="523" t="str">
        <f>spe_guarantor!A3</f>
        <v/>
      </c>
      <c r="B83" s="279" t="str">
        <f>IF($A83="spe_guarantor",spe_db_register!$D$6,"")</f>
        <v/>
      </c>
      <c r="C83" s="442" t="str">
        <f>IF($A83="spe_guarantor",spe_db_register!$D$7,"")</f>
        <v/>
      </c>
      <c r="D83" s="442" t="str">
        <f>IF($A83="spe_guarantor",spe_db_register!$D$8,"")</f>
        <v/>
      </c>
      <c r="E83" s="455" t="str">
        <f>IF($A83="spe_guarantor",spe_db_register!$D$9,"")</f>
        <v/>
      </c>
      <c r="F83" s="322" t="str">
        <f>IF($A83="spe_guarantor",spe_db_register!$D$11,"")</f>
        <v/>
      </c>
      <c r="G83" s="293" t="str">
        <f>spe_guarantor!D3</f>
        <v/>
      </c>
      <c r="H83" s="307" t="str">
        <f>LEFT(T(spe_guarantor!E3),255)</f>
        <v/>
      </c>
      <c r="I83" s="307" t="str">
        <f>LEFT(T(spe_guarantor!F3),20)</f>
        <v/>
      </c>
      <c r="J83" s="135" t="str">
        <f>LEFT(spe_guarantor!G3,2)</f>
        <v/>
      </c>
      <c r="K83" s="135" t="str">
        <f>TRIM(LEFT(spe_guarantor!H3,3))</f>
        <v/>
      </c>
      <c r="L83" s="524" t="str">
        <f>LEFT(spe_guarantor!I3,511)</f>
        <v/>
      </c>
      <c r="M83" s="522" t="str">
        <f>spe_guarantor!K3</f>
        <v/>
      </c>
    </row>
    <row r="84" spans="1:13" ht="10.5" customHeight="1" x14ac:dyDescent="0.25">
      <c r="A84" s="523" t="str">
        <f>spe_guarantor!A4</f>
        <v/>
      </c>
      <c r="B84" s="279" t="str">
        <f>IF($A84="spe_guarantor",spe_db_register!$D$6,"")</f>
        <v/>
      </c>
      <c r="C84" s="442" t="str">
        <f>IF($A84="spe_guarantor",spe_db_register!$D$7,"")</f>
        <v/>
      </c>
      <c r="D84" s="442" t="str">
        <f>IF($A84="spe_guarantor",spe_db_register!$D$8,"")</f>
        <v/>
      </c>
      <c r="E84" s="455" t="str">
        <f>IF($A84="spe_guarantor",spe_db_register!$D$9,"")</f>
        <v/>
      </c>
      <c r="F84" s="322" t="str">
        <f>IF($A84="spe_guarantor",spe_db_register!$D$11,"")</f>
        <v/>
      </c>
      <c r="G84" s="293" t="str">
        <f>spe_guarantor!D4</f>
        <v/>
      </c>
      <c r="H84" s="307" t="str">
        <f>LEFT(T(spe_guarantor!E4),255)</f>
        <v/>
      </c>
      <c r="I84" s="307" t="str">
        <f>LEFT(T(spe_guarantor!F4),20)</f>
        <v/>
      </c>
      <c r="J84" s="135" t="str">
        <f>LEFT(spe_guarantor!G4,2)</f>
        <v/>
      </c>
      <c r="K84" s="135" t="str">
        <f>TRIM(LEFT(spe_guarantor!H4,3))</f>
        <v/>
      </c>
      <c r="L84" s="524" t="str">
        <f>LEFT(spe_guarantor!I4,511)</f>
        <v/>
      </c>
      <c r="M84" s="522" t="str">
        <f>spe_guarantor!K4</f>
        <v/>
      </c>
    </row>
    <row r="85" spans="1:13" ht="10.5" customHeight="1" x14ac:dyDescent="0.25">
      <c r="A85" s="523" t="str">
        <f>spe_guarantor!A5</f>
        <v/>
      </c>
      <c r="B85" s="279" t="str">
        <f>IF($A85="spe_guarantor",spe_db_register!$D$6,"")</f>
        <v/>
      </c>
      <c r="C85" s="442" t="str">
        <f>IF($A85="spe_guarantor",spe_db_register!$D$7,"")</f>
        <v/>
      </c>
      <c r="D85" s="442" t="str">
        <f>IF($A85="spe_guarantor",spe_db_register!$D$8,"")</f>
        <v/>
      </c>
      <c r="E85" s="455" t="str">
        <f>IF($A85="spe_guarantor",spe_db_register!$D$9,"")</f>
        <v/>
      </c>
      <c r="F85" s="322" t="str">
        <f>IF($A85="spe_guarantor",spe_db_register!$D$11,"")</f>
        <v/>
      </c>
      <c r="G85" s="293" t="str">
        <f>spe_guarantor!D5</f>
        <v/>
      </c>
      <c r="H85" s="307" t="str">
        <f>LEFT(T(spe_guarantor!E5),255)</f>
        <v/>
      </c>
      <c r="I85" s="307" t="str">
        <f>LEFT(T(spe_guarantor!F5),20)</f>
        <v/>
      </c>
      <c r="J85" s="135" t="str">
        <f>LEFT(spe_guarantor!G5,2)</f>
        <v/>
      </c>
      <c r="K85" s="135" t="str">
        <f>TRIM(LEFT(spe_guarantor!H5,3))</f>
        <v/>
      </c>
      <c r="L85" s="524" t="str">
        <f>LEFT(spe_guarantor!I5,511)</f>
        <v/>
      </c>
      <c r="M85" s="522" t="str">
        <f>spe_guarantor!K5</f>
        <v/>
      </c>
    </row>
    <row r="86" spans="1:13" ht="10.5" customHeight="1" x14ac:dyDescent="0.25">
      <c r="A86" s="523" t="str">
        <f>spe_guarantor!A6</f>
        <v/>
      </c>
      <c r="B86" s="279" t="str">
        <f>IF($A86="spe_guarantor",spe_db_register!$D$6,"")</f>
        <v/>
      </c>
      <c r="C86" s="442" t="str">
        <f>IF($A86="spe_guarantor",spe_db_register!$D$7,"")</f>
        <v/>
      </c>
      <c r="D86" s="442" t="str">
        <f>IF($A86="spe_guarantor",spe_db_register!$D$8,"")</f>
        <v/>
      </c>
      <c r="E86" s="455" t="str">
        <f>IF($A86="spe_guarantor",spe_db_register!$D$9,"")</f>
        <v/>
      </c>
      <c r="F86" s="322" t="str">
        <f>IF($A86="spe_guarantor",spe_db_register!$D$11,"")</f>
        <v/>
      </c>
      <c r="G86" s="293" t="str">
        <f>spe_guarantor!D6</f>
        <v/>
      </c>
      <c r="H86" s="307" t="str">
        <f>LEFT(T(spe_guarantor!E6),255)</f>
        <v/>
      </c>
      <c r="I86" s="307" t="str">
        <f>LEFT(T(spe_guarantor!F6),20)</f>
        <v/>
      </c>
      <c r="J86" s="135" t="str">
        <f>LEFT(spe_guarantor!G6,2)</f>
        <v/>
      </c>
      <c r="K86" s="135" t="str">
        <f>TRIM(LEFT(spe_guarantor!H6,3))</f>
        <v/>
      </c>
      <c r="L86" s="524" t="str">
        <f>LEFT(spe_guarantor!I6,511)</f>
        <v/>
      </c>
      <c r="M86" s="522" t="str">
        <f>spe_guarantor!K6</f>
        <v/>
      </c>
    </row>
    <row r="87" spans="1:13" ht="10.5" customHeight="1" x14ac:dyDescent="0.25">
      <c r="A87" s="523" t="str">
        <f>spe_guarantor!A7</f>
        <v/>
      </c>
      <c r="B87" s="279" t="str">
        <f>IF($A87="spe_guarantor",spe_db_register!$D$6,"")</f>
        <v/>
      </c>
      <c r="C87" s="442" t="str">
        <f>IF($A87="spe_guarantor",spe_db_register!$D$7,"")</f>
        <v/>
      </c>
      <c r="D87" s="442" t="str">
        <f>IF($A87="spe_guarantor",spe_db_register!$D$8,"")</f>
        <v/>
      </c>
      <c r="E87" s="455" t="str">
        <f>IF($A87="spe_guarantor",spe_db_register!$D$9,"")</f>
        <v/>
      </c>
      <c r="F87" s="322" t="str">
        <f>IF($A87="spe_guarantor",spe_db_register!$D$11,"")</f>
        <v/>
      </c>
      <c r="G87" s="293" t="str">
        <f>spe_guarantor!D7</f>
        <v/>
      </c>
      <c r="H87" s="307" t="str">
        <f>LEFT(T(spe_guarantor!E7),255)</f>
        <v/>
      </c>
      <c r="I87" s="307" t="str">
        <f>LEFT(T(spe_guarantor!F7),20)</f>
        <v/>
      </c>
      <c r="J87" s="135" t="str">
        <f>LEFT(spe_guarantor!G7,2)</f>
        <v/>
      </c>
      <c r="K87" s="135" t="str">
        <f>TRIM(LEFT(spe_guarantor!H7,3))</f>
        <v/>
      </c>
      <c r="L87" s="524" t="str">
        <f>LEFT(spe_guarantor!I7,511)</f>
        <v/>
      </c>
      <c r="M87" s="522" t="str">
        <f>spe_guarantor!K7</f>
        <v/>
      </c>
    </row>
    <row r="88" spans="1:13" ht="10.5" customHeight="1" x14ac:dyDescent="0.25">
      <c r="A88" s="523" t="str">
        <f>spe_guarantor!A8</f>
        <v/>
      </c>
      <c r="B88" s="279" t="str">
        <f>IF($A88="spe_guarantor",spe_db_register!$D$6,"")</f>
        <v/>
      </c>
      <c r="C88" s="442" t="str">
        <f>IF($A88="spe_guarantor",spe_db_register!$D$7,"")</f>
        <v/>
      </c>
      <c r="D88" s="442" t="str">
        <f>IF($A88="spe_guarantor",spe_db_register!$D$8,"")</f>
        <v/>
      </c>
      <c r="E88" s="455" t="str">
        <f>IF($A88="spe_guarantor",spe_db_register!$D$9,"")</f>
        <v/>
      </c>
      <c r="F88" s="322" t="str">
        <f>IF($A88="spe_guarantor",spe_db_register!$D$11,"")</f>
        <v/>
      </c>
      <c r="G88" s="293" t="str">
        <f>spe_guarantor!D8</f>
        <v/>
      </c>
      <c r="H88" s="307" t="str">
        <f>LEFT(T(spe_guarantor!E8),255)</f>
        <v/>
      </c>
      <c r="I88" s="307" t="str">
        <f>LEFT(T(spe_guarantor!F8),20)</f>
        <v/>
      </c>
      <c r="J88" s="135" t="str">
        <f>LEFT(spe_guarantor!G8,2)</f>
        <v/>
      </c>
      <c r="K88" s="135" t="str">
        <f>TRIM(LEFT(spe_guarantor!H8,3))</f>
        <v/>
      </c>
      <c r="L88" s="524" t="str">
        <f>LEFT(spe_guarantor!I8,511)</f>
        <v/>
      </c>
      <c r="M88" s="522" t="str">
        <f>spe_guarantor!K8</f>
        <v/>
      </c>
    </row>
    <row r="89" spans="1:13" ht="10.5" customHeight="1" x14ac:dyDescent="0.25">
      <c r="A89" s="523" t="str">
        <f>spe_guarantor!A9</f>
        <v/>
      </c>
      <c r="B89" s="279" t="str">
        <f>IF($A89="spe_guarantor",spe_db_register!$D$6,"")</f>
        <v/>
      </c>
      <c r="C89" s="442" t="str">
        <f>IF($A89="spe_guarantor",spe_db_register!$D$7,"")</f>
        <v/>
      </c>
      <c r="D89" s="442" t="str">
        <f>IF($A89="spe_guarantor",spe_db_register!$D$8,"")</f>
        <v/>
      </c>
      <c r="E89" s="455" t="str">
        <f>IF($A89="spe_guarantor",spe_db_register!$D$9,"")</f>
        <v/>
      </c>
      <c r="F89" s="322" t="str">
        <f>IF($A89="spe_guarantor",spe_db_register!$D$11,"")</f>
        <v/>
      </c>
      <c r="G89" s="293" t="str">
        <f>spe_guarantor!D9</f>
        <v/>
      </c>
      <c r="H89" s="307" t="str">
        <f>LEFT(T(spe_guarantor!E9),255)</f>
        <v/>
      </c>
      <c r="I89" s="307" t="str">
        <f>LEFT(T(spe_guarantor!F9),20)</f>
        <v/>
      </c>
      <c r="J89" s="135" t="str">
        <f>LEFT(spe_guarantor!G9,2)</f>
        <v/>
      </c>
      <c r="K89" s="135" t="str">
        <f>TRIM(LEFT(spe_guarantor!H9,3))</f>
        <v/>
      </c>
      <c r="L89" s="524" t="str">
        <f>LEFT(spe_guarantor!I9,511)</f>
        <v/>
      </c>
      <c r="M89" s="522" t="str">
        <f>spe_guarantor!K9</f>
        <v/>
      </c>
    </row>
    <row r="90" spans="1:13" ht="10.5" customHeight="1" x14ac:dyDescent="0.25">
      <c r="A90" s="523" t="str">
        <f>spe_guarantor!A10</f>
        <v/>
      </c>
      <c r="B90" s="279" t="str">
        <f>IF($A90="spe_guarantor",spe_db_register!$D$6,"")</f>
        <v/>
      </c>
      <c r="C90" s="442" t="str">
        <f>IF($A90="spe_guarantor",spe_db_register!$D$7,"")</f>
        <v/>
      </c>
      <c r="D90" s="442" t="str">
        <f>IF($A90="spe_guarantor",spe_db_register!$D$8,"")</f>
        <v/>
      </c>
      <c r="E90" s="455" t="str">
        <f>IF($A90="spe_guarantor",spe_db_register!$D$9,"")</f>
        <v/>
      </c>
      <c r="F90" s="322" t="str">
        <f>IF($A90="spe_guarantor",spe_db_register!$D$11,"")</f>
        <v/>
      </c>
      <c r="G90" s="293" t="str">
        <f>spe_guarantor!D10</f>
        <v/>
      </c>
      <c r="H90" s="307" t="str">
        <f>LEFT(T(spe_guarantor!E10),255)</f>
        <v/>
      </c>
      <c r="I90" s="307" t="str">
        <f>LEFT(T(spe_guarantor!F10),20)</f>
        <v/>
      </c>
      <c r="J90" s="135" t="str">
        <f>LEFT(spe_guarantor!G10,2)</f>
        <v/>
      </c>
      <c r="K90" s="135" t="str">
        <f>TRIM(LEFT(spe_guarantor!H10,3))</f>
        <v/>
      </c>
      <c r="L90" s="524" t="str">
        <f>LEFT(spe_guarantor!I10,511)</f>
        <v/>
      </c>
      <c r="M90" s="522" t="str">
        <f>spe_guarantor!K10</f>
        <v/>
      </c>
    </row>
    <row r="91" spans="1:13" ht="10.5" customHeight="1" x14ac:dyDescent="0.25">
      <c r="A91" s="523" t="str">
        <f>spe_guarantor!A11</f>
        <v/>
      </c>
      <c r="B91" s="279" t="str">
        <f>IF($A91="spe_guarantor",spe_db_register!$D$6,"")</f>
        <v/>
      </c>
      <c r="C91" s="442" t="str">
        <f>IF($A91="spe_guarantor",spe_db_register!$D$7,"")</f>
        <v/>
      </c>
      <c r="D91" s="442" t="str">
        <f>IF($A91="spe_guarantor",spe_db_register!$D$8,"")</f>
        <v/>
      </c>
      <c r="E91" s="455" t="str">
        <f>IF($A91="spe_guarantor",spe_db_register!$D$9,"")</f>
        <v/>
      </c>
      <c r="F91" s="322" t="str">
        <f>IF($A91="spe_guarantor",spe_db_register!$D$11,"")</f>
        <v/>
      </c>
      <c r="G91" s="293" t="str">
        <f>spe_guarantor!D11</f>
        <v/>
      </c>
      <c r="H91" s="307" t="str">
        <f>LEFT(T(spe_guarantor!E11),255)</f>
        <v/>
      </c>
      <c r="I91" s="307" t="str">
        <f>LEFT(T(spe_guarantor!F11),20)</f>
        <v/>
      </c>
      <c r="J91" s="135" t="str">
        <f>LEFT(spe_guarantor!G11,2)</f>
        <v/>
      </c>
      <c r="K91" s="135" t="str">
        <f>TRIM(LEFT(spe_guarantor!H11,3))</f>
        <v/>
      </c>
      <c r="L91" s="524" t="str">
        <f>LEFT(spe_guarantor!I11,511)</f>
        <v/>
      </c>
      <c r="M91" s="522" t="str">
        <f>spe_guarantor!K11</f>
        <v/>
      </c>
    </row>
    <row r="92" spans="1:13" ht="10.5" customHeight="1" x14ac:dyDescent="0.25">
      <c r="A92" s="523" t="str">
        <f>spe_guarantor!A12</f>
        <v/>
      </c>
      <c r="B92" s="279" t="str">
        <f>IF($A92="spe_guarantor",spe_db_register!$D$6,"")</f>
        <v/>
      </c>
      <c r="C92" s="442" t="str">
        <f>IF($A92="spe_guarantor",spe_db_register!$D$7,"")</f>
        <v/>
      </c>
      <c r="D92" s="442" t="str">
        <f>IF($A92="spe_guarantor",spe_db_register!$D$8,"")</f>
        <v/>
      </c>
      <c r="E92" s="455" t="str">
        <f>IF($A92="spe_guarantor",spe_db_register!$D$9,"")</f>
        <v/>
      </c>
      <c r="F92" s="322" t="str">
        <f>IF($A92="spe_guarantor",spe_db_register!$D$11,"")</f>
        <v/>
      </c>
      <c r="G92" s="293" t="str">
        <f>spe_guarantor!D12</f>
        <v/>
      </c>
      <c r="H92" s="307" t="str">
        <f>LEFT(T(spe_guarantor!E12),255)</f>
        <v/>
      </c>
      <c r="I92" s="307" t="str">
        <f>LEFT(T(spe_guarantor!F12),20)</f>
        <v/>
      </c>
      <c r="J92" s="135" t="str">
        <f>LEFT(spe_guarantor!G12,2)</f>
        <v/>
      </c>
      <c r="K92" s="135" t="str">
        <f>TRIM(LEFT(spe_guarantor!H12,3))</f>
        <v/>
      </c>
      <c r="L92" s="524" t="str">
        <f>LEFT(spe_guarantor!I12,511)</f>
        <v/>
      </c>
      <c r="M92" s="522" t="str">
        <f>spe_guarantor!K12</f>
        <v/>
      </c>
    </row>
    <row r="93" spans="1:13" ht="10.5" customHeight="1" x14ac:dyDescent="0.25">
      <c r="A93" s="523" t="str">
        <f>spe_guarantor!A13</f>
        <v/>
      </c>
      <c r="B93" s="279" t="str">
        <f>IF($A93="spe_guarantor",spe_db_register!$D$6,"")</f>
        <v/>
      </c>
      <c r="C93" s="442" t="str">
        <f>IF($A93="spe_guarantor",spe_db_register!$D$7,"")</f>
        <v/>
      </c>
      <c r="D93" s="442" t="str">
        <f>IF($A93="spe_guarantor",spe_db_register!$D$8,"")</f>
        <v/>
      </c>
      <c r="E93" s="455" t="str">
        <f>IF($A93="spe_guarantor",spe_db_register!$D$9,"")</f>
        <v/>
      </c>
      <c r="F93" s="322" t="str">
        <f>IF($A93="spe_guarantor",spe_db_register!$D$11,"")</f>
        <v/>
      </c>
      <c r="G93" s="293" t="str">
        <f>spe_guarantor!D13</f>
        <v/>
      </c>
      <c r="H93" s="307" t="str">
        <f>LEFT(T(spe_guarantor!E13),255)</f>
        <v/>
      </c>
      <c r="I93" s="307" t="str">
        <f>LEFT(T(spe_guarantor!F13),20)</f>
        <v/>
      </c>
      <c r="J93" s="135" t="str">
        <f>LEFT(spe_guarantor!G13,2)</f>
        <v/>
      </c>
      <c r="K93" s="135" t="str">
        <f>TRIM(LEFT(spe_guarantor!H13,3))</f>
        <v/>
      </c>
      <c r="L93" s="524" t="str">
        <f>LEFT(spe_guarantor!I13,511)</f>
        <v/>
      </c>
      <c r="M93" s="522" t="str">
        <f>spe_guarantor!K13</f>
        <v/>
      </c>
    </row>
    <row r="94" spans="1:13" ht="10.5" customHeight="1" x14ac:dyDescent="0.25">
      <c r="A94" s="523" t="str">
        <f>spe_guarantor!A14</f>
        <v/>
      </c>
      <c r="B94" s="279" t="str">
        <f>IF($A94="spe_guarantor",spe_db_register!$D$6,"")</f>
        <v/>
      </c>
      <c r="C94" s="442" t="str">
        <f>IF($A94="spe_guarantor",spe_db_register!$D$7,"")</f>
        <v/>
      </c>
      <c r="D94" s="442" t="str">
        <f>IF($A94="spe_guarantor",spe_db_register!$D$8,"")</f>
        <v/>
      </c>
      <c r="E94" s="455" t="str">
        <f>IF($A94="spe_guarantor",spe_db_register!$D$9,"")</f>
        <v/>
      </c>
      <c r="F94" s="322" t="str">
        <f>IF($A94="spe_guarantor",spe_db_register!$D$11,"")</f>
        <v/>
      </c>
      <c r="G94" s="293" t="str">
        <f>spe_guarantor!D14</f>
        <v/>
      </c>
      <c r="H94" s="307" t="str">
        <f>LEFT(T(spe_guarantor!E14),255)</f>
        <v/>
      </c>
      <c r="I94" s="307" t="str">
        <f>LEFT(T(spe_guarantor!F14),20)</f>
        <v/>
      </c>
      <c r="J94" s="135" t="str">
        <f>LEFT(spe_guarantor!G14,2)</f>
        <v/>
      </c>
      <c r="K94" s="135" t="str">
        <f>TRIM(LEFT(spe_guarantor!H14,3))</f>
        <v/>
      </c>
      <c r="L94" s="524" t="str">
        <f>LEFT(spe_guarantor!I14,511)</f>
        <v/>
      </c>
      <c r="M94" s="522" t="str">
        <f>spe_guarantor!K14</f>
        <v/>
      </c>
    </row>
    <row r="95" spans="1:13" ht="10.5" customHeight="1" x14ac:dyDescent="0.25">
      <c r="A95" s="523" t="str">
        <f>spe_guarantor!A15</f>
        <v/>
      </c>
      <c r="B95" s="279" t="str">
        <f>IF($A95="spe_guarantor",spe_db_register!$D$6,"")</f>
        <v/>
      </c>
      <c r="C95" s="442" t="str">
        <f>IF($A95="spe_guarantor",spe_db_register!$D$7,"")</f>
        <v/>
      </c>
      <c r="D95" s="442" t="str">
        <f>IF($A95="spe_guarantor",spe_db_register!$D$8,"")</f>
        <v/>
      </c>
      <c r="E95" s="455" t="str">
        <f>IF($A95="spe_guarantor",spe_db_register!$D$9,"")</f>
        <v/>
      </c>
      <c r="F95" s="322" t="str">
        <f>IF($A95="spe_guarantor",spe_db_register!$D$11,"")</f>
        <v/>
      </c>
      <c r="G95" s="293" t="str">
        <f>spe_guarantor!D15</f>
        <v/>
      </c>
      <c r="H95" s="307" t="str">
        <f>LEFT(T(spe_guarantor!E15),255)</f>
        <v/>
      </c>
      <c r="I95" s="307" t="str">
        <f>LEFT(T(spe_guarantor!F15),20)</f>
        <v/>
      </c>
      <c r="J95" s="135" t="str">
        <f>LEFT(spe_guarantor!G15,2)</f>
        <v/>
      </c>
      <c r="K95" s="135" t="str">
        <f>TRIM(LEFT(spe_guarantor!H15,3))</f>
        <v/>
      </c>
      <c r="L95" s="524" t="str">
        <f>LEFT(spe_guarantor!I15,511)</f>
        <v/>
      </c>
      <c r="M95" s="522" t="str">
        <f>spe_guarantor!K15</f>
        <v/>
      </c>
    </row>
    <row r="96" spans="1:13" ht="10.5" customHeight="1" x14ac:dyDescent="0.25">
      <c r="A96" s="523" t="str">
        <f>spe_guarantor!A16</f>
        <v/>
      </c>
      <c r="B96" s="279" t="str">
        <f>IF($A96="spe_guarantor",spe_db_register!$D$6,"")</f>
        <v/>
      </c>
      <c r="C96" s="442" t="str">
        <f>IF($A96="spe_guarantor",spe_db_register!$D$7,"")</f>
        <v/>
      </c>
      <c r="D96" s="442" t="str">
        <f>IF($A96="spe_guarantor",spe_db_register!$D$8,"")</f>
        <v/>
      </c>
      <c r="E96" s="455" t="str">
        <f>IF($A96="spe_guarantor",spe_db_register!$D$9,"")</f>
        <v/>
      </c>
      <c r="F96" s="322" t="str">
        <f>IF($A96="spe_guarantor",spe_db_register!$D$11,"")</f>
        <v/>
      </c>
      <c r="G96" s="293" t="str">
        <f>spe_guarantor!D16</f>
        <v/>
      </c>
      <c r="H96" s="307" t="str">
        <f>LEFT(T(spe_guarantor!E16),255)</f>
        <v/>
      </c>
      <c r="I96" s="307" t="str">
        <f>LEFT(T(spe_guarantor!F16),20)</f>
        <v/>
      </c>
      <c r="J96" s="135" t="str">
        <f>LEFT(spe_guarantor!G16,2)</f>
        <v/>
      </c>
      <c r="K96" s="135" t="str">
        <f>TRIM(LEFT(spe_guarantor!H16,3))</f>
        <v/>
      </c>
      <c r="L96" s="524" t="str">
        <f>LEFT(spe_guarantor!I16,511)</f>
        <v/>
      </c>
      <c r="M96" s="522" t="str">
        <f>spe_guarantor!K16</f>
        <v/>
      </c>
    </row>
    <row r="97" spans="1:13" ht="10.5" customHeight="1" x14ac:dyDescent="0.25">
      <c r="A97" s="523" t="str">
        <f>spe_guarantor!A17</f>
        <v/>
      </c>
      <c r="B97" s="279" t="str">
        <f>IF($A97="spe_guarantor",spe_db_register!$D$6,"")</f>
        <v/>
      </c>
      <c r="C97" s="442" t="str">
        <f>IF($A97="spe_guarantor",spe_db_register!$D$7,"")</f>
        <v/>
      </c>
      <c r="D97" s="442" t="str">
        <f>IF($A97="spe_guarantor",spe_db_register!$D$8,"")</f>
        <v/>
      </c>
      <c r="E97" s="455" t="str">
        <f>IF($A97="spe_guarantor",spe_db_register!$D$9,"")</f>
        <v/>
      </c>
      <c r="F97" s="322" t="str">
        <f>IF($A97="spe_guarantor",spe_db_register!$D$11,"")</f>
        <v/>
      </c>
      <c r="G97" s="293" t="str">
        <f>spe_guarantor!D17</f>
        <v/>
      </c>
      <c r="H97" s="307" t="str">
        <f>LEFT(T(spe_guarantor!E17),255)</f>
        <v/>
      </c>
      <c r="I97" s="307" t="str">
        <f>LEFT(T(spe_guarantor!F17),20)</f>
        <v/>
      </c>
      <c r="J97" s="135" t="str">
        <f>LEFT(spe_guarantor!G17,2)</f>
        <v/>
      </c>
      <c r="K97" s="135" t="str">
        <f>TRIM(LEFT(spe_guarantor!H17,3))</f>
        <v/>
      </c>
      <c r="L97" s="524" t="str">
        <f>LEFT(spe_guarantor!I17,511)</f>
        <v/>
      </c>
      <c r="M97" s="522" t="str">
        <f>spe_guarantor!K17</f>
        <v/>
      </c>
    </row>
    <row r="98" spans="1:13" ht="10.5" customHeight="1" x14ac:dyDescent="0.25">
      <c r="A98" s="523" t="str">
        <f>spe_guarantor!A18</f>
        <v/>
      </c>
      <c r="B98" s="279" t="str">
        <f>IF($A98="spe_guarantor",spe_db_register!$D$6,"")</f>
        <v/>
      </c>
      <c r="C98" s="442" t="str">
        <f>IF($A98="spe_guarantor",spe_db_register!$D$7,"")</f>
        <v/>
      </c>
      <c r="D98" s="442" t="str">
        <f>IF($A98="spe_guarantor",spe_db_register!$D$8,"")</f>
        <v/>
      </c>
      <c r="E98" s="455" t="str">
        <f>IF($A98="spe_guarantor",spe_db_register!$D$9,"")</f>
        <v/>
      </c>
      <c r="F98" s="322" t="str">
        <f>IF($A98="spe_guarantor",spe_db_register!$D$11,"")</f>
        <v/>
      </c>
      <c r="G98" s="293" t="str">
        <f>spe_guarantor!D18</f>
        <v/>
      </c>
      <c r="H98" s="307" t="str">
        <f>LEFT(T(spe_guarantor!E18),255)</f>
        <v/>
      </c>
      <c r="I98" s="307" t="str">
        <f>LEFT(T(spe_guarantor!F18),20)</f>
        <v/>
      </c>
      <c r="J98" s="135" t="str">
        <f>LEFT(spe_guarantor!G18,2)</f>
        <v/>
      </c>
      <c r="K98" s="135" t="str">
        <f>TRIM(LEFT(spe_guarantor!H18,3))</f>
        <v/>
      </c>
      <c r="L98" s="524" t="str">
        <f>LEFT(spe_guarantor!I18,511)</f>
        <v/>
      </c>
      <c r="M98" s="522" t="str">
        <f>spe_guarantor!K18</f>
        <v/>
      </c>
    </row>
    <row r="99" spans="1:13" ht="10.5" customHeight="1" x14ac:dyDescent="0.25">
      <c r="A99" s="523" t="str">
        <f>spe_guarantor!A19</f>
        <v/>
      </c>
      <c r="B99" s="279" t="str">
        <f>IF($A99="spe_guarantor",spe_db_register!$D$6,"")</f>
        <v/>
      </c>
      <c r="C99" s="442" t="str">
        <f>IF($A99="spe_guarantor",spe_db_register!$D$7,"")</f>
        <v/>
      </c>
      <c r="D99" s="442" t="str">
        <f>IF($A99="spe_guarantor",spe_db_register!$D$8,"")</f>
        <v/>
      </c>
      <c r="E99" s="455" t="str">
        <f>IF($A99="spe_guarantor",spe_db_register!$D$9,"")</f>
        <v/>
      </c>
      <c r="F99" s="322" t="str">
        <f>IF($A99="spe_guarantor",spe_db_register!$D$11,"")</f>
        <v/>
      </c>
      <c r="G99" s="293" t="str">
        <f>spe_guarantor!D19</f>
        <v/>
      </c>
      <c r="H99" s="307" t="str">
        <f>LEFT(T(spe_guarantor!E19),255)</f>
        <v/>
      </c>
      <c r="I99" s="307" t="str">
        <f>LEFT(T(spe_guarantor!F19),20)</f>
        <v/>
      </c>
      <c r="J99" s="135" t="str">
        <f>LEFT(spe_guarantor!G19,2)</f>
        <v/>
      </c>
      <c r="K99" s="135" t="str">
        <f>TRIM(LEFT(spe_guarantor!H19,3))</f>
        <v/>
      </c>
      <c r="L99" s="524" t="str">
        <f>LEFT(spe_guarantor!I19,511)</f>
        <v/>
      </c>
      <c r="M99" s="522" t="str">
        <f>spe_guarantor!K19</f>
        <v/>
      </c>
    </row>
    <row r="100" spans="1:13" ht="10.5" customHeight="1" x14ac:dyDescent="0.25">
      <c r="A100" s="523" t="str">
        <f>spe_guarantor!A20</f>
        <v/>
      </c>
      <c r="B100" s="279" t="str">
        <f>IF($A100="spe_guarantor",spe_db_register!$D$6,"")</f>
        <v/>
      </c>
      <c r="C100" s="442" t="str">
        <f>IF($A100="spe_guarantor",spe_db_register!$D$7,"")</f>
        <v/>
      </c>
      <c r="D100" s="442" t="str">
        <f>IF($A100="spe_guarantor",spe_db_register!$D$8,"")</f>
        <v/>
      </c>
      <c r="E100" s="455" t="str">
        <f>IF($A100="spe_guarantor",spe_db_register!$D$9,"")</f>
        <v/>
      </c>
      <c r="F100" s="322" t="str">
        <f>IF($A100="spe_guarantor",spe_db_register!$D$11,"")</f>
        <v/>
      </c>
      <c r="G100" s="293" t="str">
        <f>spe_guarantor!D20</f>
        <v/>
      </c>
      <c r="H100" s="307" t="str">
        <f>LEFT(T(spe_guarantor!E20),255)</f>
        <v/>
      </c>
      <c r="I100" s="307" t="str">
        <f>LEFT(T(spe_guarantor!F20),20)</f>
        <v/>
      </c>
      <c r="J100" s="135" t="str">
        <f>LEFT(spe_guarantor!G20,2)</f>
        <v/>
      </c>
      <c r="K100" s="135" t="str">
        <f>TRIM(LEFT(spe_guarantor!H20,3))</f>
        <v/>
      </c>
      <c r="L100" s="524" t="str">
        <f>LEFT(spe_guarantor!I20,511)</f>
        <v/>
      </c>
      <c r="M100" s="522" t="str">
        <f>spe_guarantor!K20</f>
        <v/>
      </c>
    </row>
    <row r="101" spans="1:13" ht="10.5" customHeight="1" x14ac:dyDescent="0.25">
      <c r="A101" s="523" t="str">
        <f>spe_guarantor!A21</f>
        <v/>
      </c>
      <c r="B101" s="279" t="str">
        <f>IF($A101="spe_guarantor",spe_db_register!$D$6,"")</f>
        <v/>
      </c>
      <c r="C101" s="442" t="str">
        <f>IF($A101="spe_guarantor",spe_db_register!$D$7,"")</f>
        <v/>
      </c>
      <c r="D101" s="442" t="str">
        <f>IF($A101="spe_guarantor",spe_db_register!$D$8,"")</f>
        <v/>
      </c>
      <c r="E101" s="455" t="str">
        <f>IF($A101="spe_guarantor",spe_db_register!$D$9,"")</f>
        <v/>
      </c>
      <c r="F101" s="322" t="str">
        <f>IF($A101="spe_guarantor",spe_db_register!$D$11,"")</f>
        <v/>
      </c>
      <c r="G101" s="293" t="str">
        <f>spe_guarantor!D21</f>
        <v/>
      </c>
      <c r="H101" s="307" t="str">
        <f>LEFT(T(spe_guarantor!E21),255)</f>
        <v/>
      </c>
      <c r="I101" s="307" t="str">
        <f>LEFT(T(spe_guarantor!F21),20)</f>
        <v/>
      </c>
      <c r="J101" s="135" t="str">
        <f>LEFT(spe_guarantor!G21,2)</f>
        <v/>
      </c>
      <c r="K101" s="135" t="str">
        <f>TRIM(LEFT(spe_guarantor!H21,3))</f>
        <v/>
      </c>
      <c r="L101" s="524" t="str">
        <f>LEFT(spe_guarantor!I21,511)</f>
        <v/>
      </c>
      <c r="M101" s="522" t="str">
        <f>spe_guarantor!K21</f>
        <v/>
      </c>
    </row>
    <row r="102" spans="1:13" ht="10.5" customHeight="1" x14ac:dyDescent="0.25">
      <c r="A102" s="523" t="str">
        <f>spe_guarantor!A22</f>
        <v/>
      </c>
      <c r="B102" s="279" t="str">
        <f>IF($A102="spe_guarantor",spe_db_register!$D$6,"")</f>
        <v/>
      </c>
      <c r="C102" s="442" t="str">
        <f>IF($A102="spe_guarantor",spe_db_register!$D$7,"")</f>
        <v/>
      </c>
      <c r="D102" s="442" t="str">
        <f>IF($A102="spe_guarantor",spe_db_register!$D$8,"")</f>
        <v/>
      </c>
      <c r="E102" s="455" t="str">
        <f>IF($A102="spe_guarantor",spe_db_register!$D$9,"")</f>
        <v/>
      </c>
      <c r="F102" s="322" t="str">
        <f>IF($A102="spe_guarantor",spe_db_register!$D$11,"")</f>
        <v/>
      </c>
      <c r="G102" s="293" t="str">
        <f>spe_guarantor!D22</f>
        <v/>
      </c>
      <c r="H102" s="307" t="str">
        <f>LEFT(T(spe_guarantor!E22),255)</f>
        <v/>
      </c>
      <c r="I102" s="307" t="str">
        <f>LEFT(T(spe_guarantor!F22),20)</f>
        <v/>
      </c>
      <c r="J102" s="135" t="str">
        <f>LEFT(spe_guarantor!G22,2)</f>
        <v/>
      </c>
      <c r="K102" s="135" t="str">
        <f>TRIM(LEFT(spe_guarantor!H22,3))</f>
        <v/>
      </c>
      <c r="L102" s="524" t="str">
        <f>LEFT(spe_guarantor!I22,511)</f>
        <v/>
      </c>
      <c r="M102" s="522" t="str">
        <f>spe_guarantor!K22</f>
        <v/>
      </c>
    </row>
    <row r="103" spans="1:13" ht="10.5" customHeight="1" x14ac:dyDescent="0.25">
      <c r="A103" s="523" t="str">
        <f>spe_guarantor!A23</f>
        <v/>
      </c>
      <c r="B103" s="279" t="str">
        <f>IF($A103="spe_guarantor",spe_db_register!$D$6,"")</f>
        <v/>
      </c>
      <c r="C103" s="442" t="str">
        <f>IF($A103="spe_guarantor",spe_db_register!$D$7,"")</f>
        <v/>
      </c>
      <c r="D103" s="442" t="str">
        <f>IF($A103="spe_guarantor",spe_db_register!$D$8,"")</f>
        <v/>
      </c>
      <c r="E103" s="455" t="str">
        <f>IF($A103="spe_guarantor",spe_db_register!$D$9,"")</f>
        <v/>
      </c>
      <c r="F103" s="322" t="str">
        <f>IF($A103="spe_guarantor",spe_db_register!$D$11,"")</f>
        <v/>
      </c>
      <c r="G103" s="293" t="str">
        <f>spe_guarantor!D23</f>
        <v/>
      </c>
      <c r="H103" s="307" t="str">
        <f>LEFT(T(spe_guarantor!E23),255)</f>
        <v/>
      </c>
      <c r="I103" s="307" t="str">
        <f>LEFT(T(spe_guarantor!F23),20)</f>
        <v/>
      </c>
      <c r="J103" s="135" t="str">
        <f>LEFT(spe_guarantor!G23,2)</f>
        <v/>
      </c>
      <c r="K103" s="135" t="str">
        <f>TRIM(LEFT(spe_guarantor!H23,3))</f>
        <v/>
      </c>
      <c r="L103" s="524" t="str">
        <f>LEFT(spe_guarantor!I23,511)</f>
        <v/>
      </c>
      <c r="M103" s="522" t="str">
        <f>spe_guarantor!K23</f>
        <v/>
      </c>
    </row>
    <row r="104" spans="1:13" ht="10.5" customHeight="1" x14ac:dyDescent="0.25">
      <c r="A104" s="523" t="str">
        <f>spe_guarantor!A24</f>
        <v/>
      </c>
      <c r="B104" s="279" t="str">
        <f>IF($A104="spe_guarantor",spe_db_register!$D$6,"")</f>
        <v/>
      </c>
      <c r="C104" s="442" t="str">
        <f>IF($A104="spe_guarantor",spe_db_register!$D$7,"")</f>
        <v/>
      </c>
      <c r="D104" s="442" t="str">
        <f>IF($A104="spe_guarantor",spe_db_register!$D$8,"")</f>
        <v/>
      </c>
      <c r="E104" s="455" t="str">
        <f>IF($A104="spe_guarantor",spe_db_register!$D$9,"")</f>
        <v/>
      </c>
      <c r="F104" s="322" t="str">
        <f>IF($A104="spe_guarantor",spe_db_register!$D$11,"")</f>
        <v/>
      </c>
      <c r="G104" s="293" t="str">
        <f>spe_guarantor!D24</f>
        <v/>
      </c>
      <c r="H104" s="307" t="str">
        <f>LEFT(T(spe_guarantor!E24),255)</f>
        <v/>
      </c>
      <c r="I104" s="307" t="str">
        <f>LEFT(T(spe_guarantor!F24),20)</f>
        <v/>
      </c>
      <c r="J104" s="135" t="str">
        <f>LEFT(spe_guarantor!G24,2)</f>
        <v/>
      </c>
      <c r="K104" s="135" t="str">
        <f>TRIM(LEFT(spe_guarantor!H24,3))</f>
        <v/>
      </c>
      <c r="L104" s="524" t="str">
        <f>LEFT(spe_guarantor!I24,511)</f>
        <v/>
      </c>
      <c r="M104" s="522" t="str">
        <f>spe_guarantor!K24</f>
        <v/>
      </c>
    </row>
    <row r="105" spans="1:13" ht="10.5" customHeight="1" x14ac:dyDescent="0.25">
      <c r="A105" s="523" t="str">
        <f>spe_guarantor!A25</f>
        <v/>
      </c>
      <c r="B105" s="279" t="str">
        <f>IF($A105="spe_guarantor",spe_db_register!$D$6,"")</f>
        <v/>
      </c>
      <c r="C105" s="442" t="str">
        <f>IF($A105="spe_guarantor",spe_db_register!$D$7,"")</f>
        <v/>
      </c>
      <c r="D105" s="442" t="str">
        <f>IF($A105="spe_guarantor",spe_db_register!$D$8,"")</f>
        <v/>
      </c>
      <c r="E105" s="455" t="str">
        <f>IF($A105="spe_guarantor",spe_db_register!$D$9,"")</f>
        <v/>
      </c>
      <c r="F105" s="322" t="str">
        <f>IF($A105="spe_guarantor",spe_db_register!$D$11,"")</f>
        <v/>
      </c>
      <c r="G105" s="293" t="str">
        <f>spe_guarantor!D25</f>
        <v/>
      </c>
      <c r="H105" s="307" t="str">
        <f>LEFT(T(spe_guarantor!E25),255)</f>
        <v/>
      </c>
      <c r="I105" s="307" t="str">
        <f>LEFT(T(spe_guarantor!F25),20)</f>
        <v/>
      </c>
      <c r="J105" s="135" t="str">
        <f>LEFT(spe_guarantor!G25,2)</f>
        <v/>
      </c>
      <c r="K105" s="135" t="str">
        <f>TRIM(LEFT(spe_guarantor!H25,3))</f>
        <v/>
      </c>
      <c r="L105" s="524" t="str">
        <f>LEFT(spe_guarantor!I25,511)</f>
        <v/>
      </c>
      <c r="M105" s="522" t="str">
        <f>spe_guarantor!K25</f>
        <v/>
      </c>
    </row>
    <row r="106" spans="1:13" ht="10.5" customHeight="1" thickBot="1" x14ac:dyDescent="0.3">
      <c r="A106" s="525" t="str">
        <f>spe_guarantor!A26</f>
        <v/>
      </c>
      <c r="B106" s="280" t="str">
        <f>IF($A106="spe_guarantor",spe_db_register!$D$6,"")</f>
        <v/>
      </c>
      <c r="C106" s="443" t="str">
        <f>IF($A106="spe_guarantor",spe_db_register!$D$7,"")</f>
        <v/>
      </c>
      <c r="D106" s="443" t="str">
        <f>IF($A106="spe_guarantor",spe_db_register!$D$8,"")</f>
        <v/>
      </c>
      <c r="E106" s="456" t="str">
        <f>IF($A106="spe_guarantor",spe_db_register!$D$9,"")</f>
        <v/>
      </c>
      <c r="F106" s="323" t="str">
        <f>IF($A106="spe_guarantor",spe_db_register!$D$11,"")</f>
        <v/>
      </c>
      <c r="G106" s="294" t="str">
        <f>spe_guarantor!D26</f>
        <v/>
      </c>
      <c r="H106" s="308" t="str">
        <f>LEFT(T(spe_guarantor!E26),255)</f>
        <v/>
      </c>
      <c r="I106" s="308" t="str">
        <f>LEFT(T(spe_guarantor!F26),20)</f>
        <v/>
      </c>
      <c r="J106" s="136" t="str">
        <f>LEFT(spe_guarantor!G26,2)</f>
        <v/>
      </c>
      <c r="K106" s="136" t="str">
        <f>TRIM(LEFT(spe_guarantor!H26,3))</f>
        <v/>
      </c>
      <c r="L106" s="526" t="str">
        <f>LEFT(spe_guarantor!I26,511)</f>
        <v/>
      </c>
      <c r="M106" s="527" t="str">
        <f>spe_guarantor!K26</f>
        <v/>
      </c>
    </row>
    <row r="107" spans="1:13" ht="10.5" customHeight="1" thickTop="1" x14ac:dyDescent="0.25">
      <c r="A107" s="234"/>
      <c r="B107" s="234"/>
      <c r="C107" s="234"/>
      <c r="D107" s="234"/>
      <c r="E107" s="234"/>
      <c r="F107" s="324"/>
      <c r="G107" s="234"/>
      <c r="H107" s="234"/>
      <c r="I107" s="234"/>
      <c r="J107" s="234"/>
      <c r="K107" s="234"/>
      <c r="L107" s="234"/>
      <c r="M107" s="234"/>
    </row>
    <row r="108" spans="1:13" ht="10.5" hidden="1" customHeight="1" x14ac:dyDescent="0.25">
      <c r="A108" s="234"/>
      <c r="B108" s="234"/>
      <c r="C108" s="234"/>
      <c r="D108" s="234"/>
      <c r="E108" s="234"/>
      <c r="F108" s="324"/>
      <c r="G108" s="234"/>
      <c r="H108" s="234"/>
      <c r="I108" s="234"/>
      <c r="J108" s="234"/>
      <c r="K108" s="234"/>
      <c r="L108" s="234"/>
      <c r="M108" s="234"/>
    </row>
    <row r="109" spans="1:13" ht="10.5" hidden="1" customHeight="1" x14ac:dyDescent="0.25">
      <c r="A109" s="177" t="s">
        <v>1459</v>
      </c>
      <c r="B109" s="128" t="s">
        <v>1381</v>
      </c>
      <c r="C109" s="40" t="s">
        <v>1337</v>
      </c>
      <c r="D109" s="40" t="s">
        <v>1392</v>
      </c>
      <c r="E109" s="40" t="s">
        <v>1382</v>
      </c>
      <c r="F109" s="309"/>
      <c r="G109" s="40" t="s">
        <v>1383</v>
      </c>
      <c r="H109" s="133" t="s">
        <v>1205</v>
      </c>
      <c r="I109" s="133" t="s">
        <v>1</v>
      </c>
      <c r="J109" s="133" t="s">
        <v>7</v>
      </c>
      <c r="K109" s="133" t="s">
        <v>8</v>
      </c>
      <c r="L109" s="133" t="s">
        <v>9</v>
      </c>
      <c r="M109" s="235" t="s">
        <v>10</v>
      </c>
    </row>
    <row r="110" spans="1:13" ht="10.5" hidden="1" customHeight="1" x14ac:dyDescent="0.25">
      <c r="A110" s="230" t="s">
        <v>1429</v>
      </c>
      <c r="B110" s="232" t="s">
        <v>1510</v>
      </c>
      <c r="C110" s="232" t="s">
        <v>1431</v>
      </c>
      <c r="D110" s="232" t="s">
        <v>1433</v>
      </c>
      <c r="E110" s="232" t="s">
        <v>1432</v>
      </c>
      <c r="F110" s="325"/>
      <c r="G110" s="232" t="s">
        <v>1453</v>
      </c>
      <c r="H110" s="232" t="s">
        <v>1455</v>
      </c>
      <c r="I110" s="232" t="s">
        <v>1456</v>
      </c>
      <c r="J110" s="232" t="s">
        <v>1457</v>
      </c>
      <c r="K110" s="232" t="s">
        <v>1458</v>
      </c>
      <c r="L110" s="232" t="s">
        <v>1525</v>
      </c>
      <c r="M110" s="232" t="s">
        <v>1526</v>
      </c>
    </row>
    <row r="111" spans="1:13" ht="10.5" hidden="1" customHeight="1" x14ac:dyDescent="0.25">
      <c r="A111" s="230" t="s">
        <v>1423</v>
      </c>
      <c r="B111" s="178" t="s">
        <v>1308</v>
      </c>
      <c r="C111" s="178" t="s">
        <v>1426</v>
      </c>
      <c r="D111" s="178" t="s">
        <v>1308</v>
      </c>
      <c r="E111" s="178" t="s">
        <v>1241</v>
      </c>
      <c r="F111" s="326"/>
      <c r="G111" s="178" t="s">
        <v>1454</v>
      </c>
      <c r="H111" s="178" t="s">
        <v>1241</v>
      </c>
      <c r="I111" s="178" t="s">
        <v>1241</v>
      </c>
      <c r="J111" s="178" t="s">
        <v>1241</v>
      </c>
      <c r="K111" s="178" t="s">
        <v>1241</v>
      </c>
      <c r="L111" s="178" t="s">
        <v>1241</v>
      </c>
      <c r="M111" s="178" t="s">
        <v>1427</v>
      </c>
    </row>
    <row r="112" spans="1:13" ht="10.5" hidden="1" customHeight="1" x14ac:dyDescent="0.25">
      <c r="A112" s="230" t="s">
        <v>1424</v>
      </c>
      <c r="B112" s="178">
        <v>0</v>
      </c>
      <c r="C112" s="178">
        <v>0</v>
      </c>
      <c r="D112" s="178">
        <v>0</v>
      </c>
      <c r="E112" s="178">
        <v>1</v>
      </c>
      <c r="F112" s="326"/>
      <c r="G112" s="178">
        <v>0</v>
      </c>
      <c r="H112" s="178">
        <v>0</v>
      </c>
      <c r="I112" s="178">
        <v>0</v>
      </c>
      <c r="J112" s="178">
        <v>0</v>
      </c>
      <c r="K112" s="178">
        <v>0</v>
      </c>
      <c r="L112" s="178">
        <v>0</v>
      </c>
      <c r="M112" s="178">
        <v>4</v>
      </c>
    </row>
    <row r="113" spans="1:13" ht="10.5" hidden="1" customHeight="1" x14ac:dyDescent="0.25">
      <c r="A113" s="230" t="s">
        <v>1425</v>
      </c>
      <c r="B113" s="178">
        <v>99999999999</v>
      </c>
      <c r="C113" s="178">
        <v>20</v>
      </c>
      <c r="D113" s="178">
        <v>999999</v>
      </c>
      <c r="E113" s="178">
        <v>255</v>
      </c>
      <c r="F113" s="326"/>
      <c r="G113" s="178">
        <v>100</v>
      </c>
      <c r="H113" s="178">
        <v>255</v>
      </c>
      <c r="I113" s="178">
        <v>20</v>
      </c>
      <c r="J113" s="178">
        <v>2</v>
      </c>
      <c r="K113" s="178">
        <v>3</v>
      </c>
      <c r="L113" s="178">
        <v>511</v>
      </c>
      <c r="M113" s="178">
        <v>5</v>
      </c>
    </row>
    <row r="114" spans="1:13" ht="10.5" hidden="1" customHeight="1" x14ac:dyDescent="0.25">
      <c r="A114" s="231" t="s">
        <v>1448</v>
      </c>
      <c r="B114" s="233" t="e">
        <f>#REF!</f>
        <v>#REF!</v>
      </c>
      <c r="C114" s="233" t="e">
        <f>#REF!</f>
        <v>#REF!</v>
      </c>
      <c r="D114" s="233" t="e">
        <f>#REF!</f>
        <v>#REF!</v>
      </c>
      <c r="E114" s="233" t="e">
        <f>#REF!</f>
        <v>#REF!</v>
      </c>
      <c r="F114" s="327"/>
      <c r="G114" s="233"/>
      <c r="H114" s="233"/>
      <c r="I114" s="233"/>
      <c r="J114" s="233"/>
      <c r="K114" s="233"/>
      <c r="L114" s="233"/>
      <c r="M114" s="233"/>
    </row>
    <row r="115" spans="1:13" ht="10.5" hidden="1" customHeight="1" x14ac:dyDescent="0.25"/>
    <row r="116" spans="1:13" ht="10.5" hidden="1" customHeight="1" x14ac:dyDescent="0.25"/>
    <row r="117" spans="1:13" ht="10.5" hidden="1" customHeight="1" x14ac:dyDescent="0.25"/>
    <row r="118" spans="1:13" ht="10.5" hidden="1" customHeight="1" x14ac:dyDescent="0.25"/>
    <row r="119" spans="1:13" ht="10.5" hidden="1" customHeight="1" x14ac:dyDescent="0.25"/>
    <row r="120" spans="1:13" ht="10.5" hidden="1" customHeight="1" x14ac:dyDescent="0.25"/>
    <row r="121" spans="1:13" ht="10.5" hidden="1" customHeight="1" x14ac:dyDescent="0.25"/>
    <row r="122" spans="1:13" ht="10.5" hidden="1" customHeight="1" x14ac:dyDescent="0.25"/>
    <row r="123" spans="1:13" ht="10.5" hidden="1" customHeight="1" x14ac:dyDescent="0.25"/>
    <row r="124" spans="1:13" ht="10.5" hidden="1" customHeight="1" x14ac:dyDescent="0.25"/>
    <row r="125" spans="1:13" ht="10.5" hidden="1" customHeight="1" x14ac:dyDescent="0.25"/>
    <row r="126" spans="1:13" ht="10.5" hidden="1" customHeight="1" x14ac:dyDescent="0.25"/>
    <row r="127" spans="1:13" ht="10.5" hidden="1" customHeight="1" x14ac:dyDescent="0.25"/>
    <row r="128" spans="1:13" ht="10.5" hidden="1" customHeight="1" x14ac:dyDescent="0.25"/>
    <row r="129" ht="10.5" hidden="1" customHeight="1" x14ac:dyDescent="0.25"/>
    <row r="130" ht="10.5" hidden="1" customHeight="1" x14ac:dyDescent="0.25"/>
    <row r="131" ht="10.5" hidden="1" customHeight="1" x14ac:dyDescent="0.25"/>
    <row r="132" ht="10.5" hidden="1" customHeight="1" x14ac:dyDescent="0.25"/>
    <row r="133" ht="10.5" hidden="1" customHeight="1" x14ac:dyDescent="0.25"/>
    <row r="134" ht="10.5" hidden="1" customHeight="1" x14ac:dyDescent="0.25"/>
    <row r="135" ht="10.5" hidden="1" customHeight="1" x14ac:dyDescent="0.25"/>
    <row r="136" ht="10.5" hidden="1" customHeight="1" x14ac:dyDescent="0.25"/>
    <row r="137" ht="10.5" hidden="1" customHeight="1" x14ac:dyDescent="0.25"/>
    <row r="138" ht="10.5" hidden="1" customHeight="1" x14ac:dyDescent="0.25"/>
    <row r="139" ht="10.5" hidden="1" customHeight="1" x14ac:dyDescent="0.25"/>
    <row r="140" ht="10.5" hidden="1" customHeight="1" x14ac:dyDescent="0.25"/>
    <row r="141" ht="10.5" hidden="1" customHeight="1" x14ac:dyDescent="0.25"/>
    <row r="142" ht="10.5" hidden="1" customHeight="1" x14ac:dyDescent="0.25"/>
    <row r="143" ht="10.5" hidden="1" customHeight="1" x14ac:dyDescent="0.25"/>
    <row r="144" ht="10.5" hidden="1" customHeight="1" x14ac:dyDescent="0.25"/>
    <row r="145" ht="10.5" hidden="1" customHeight="1" x14ac:dyDescent="0.25"/>
    <row r="146" ht="10.5" hidden="1" customHeight="1" x14ac:dyDescent="0.25"/>
    <row r="147" ht="10.5" hidden="1" customHeight="1" x14ac:dyDescent="0.25"/>
    <row r="148" ht="10.5" hidden="1" customHeight="1" x14ac:dyDescent="0.25"/>
    <row r="149" ht="10.5" hidden="1" customHeight="1" x14ac:dyDescent="0.25"/>
    <row r="150" ht="10.5" hidden="1" customHeight="1" x14ac:dyDescent="0.25"/>
    <row r="151" ht="10.5" hidden="1" customHeight="1" x14ac:dyDescent="0.25"/>
    <row r="152" ht="10.5" hidden="1" customHeight="1" x14ac:dyDescent="0.25"/>
    <row r="153" ht="10.5" hidden="1" customHeight="1" x14ac:dyDescent="0.25"/>
    <row r="154" ht="10.5" hidden="1" customHeight="1" x14ac:dyDescent="0.25"/>
    <row r="155" ht="10.5" hidden="1" customHeight="1" x14ac:dyDescent="0.25"/>
    <row r="156" ht="10.5" hidden="1" customHeight="1" x14ac:dyDescent="0.25"/>
    <row r="157" ht="10.5" hidden="1" customHeight="1" x14ac:dyDescent="0.25"/>
    <row r="158" ht="10.5" hidden="1" customHeight="1" x14ac:dyDescent="0.25"/>
    <row r="159" ht="10.5" hidden="1" customHeight="1" x14ac:dyDescent="0.25"/>
    <row r="160" ht="10.5" hidden="1" customHeight="1" x14ac:dyDescent="0.25"/>
    <row r="161" ht="10.5" hidden="1" customHeight="1" x14ac:dyDescent="0.25"/>
    <row r="162" ht="10.5" hidden="1" customHeight="1" x14ac:dyDescent="0.25"/>
    <row r="163" ht="10.5" hidden="1" customHeight="1" x14ac:dyDescent="0.25"/>
    <row r="164" ht="10.5" hidden="1" customHeight="1" x14ac:dyDescent="0.25"/>
    <row r="165" ht="10.5" hidden="1" customHeight="1" x14ac:dyDescent="0.25"/>
    <row r="166" ht="10.5" hidden="1" customHeight="1" x14ac:dyDescent="0.25"/>
    <row r="167" ht="10.5" hidden="1" customHeight="1" x14ac:dyDescent="0.25"/>
    <row r="168" ht="10.5" hidden="1" customHeight="1" x14ac:dyDescent="0.25"/>
    <row r="169" ht="10.5" hidden="1" customHeight="1" x14ac:dyDescent="0.25"/>
    <row r="170" ht="10.5" hidden="1" customHeight="1" x14ac:dyDescent="0.25"/>
    <row r="171" ht="10.5" hidden="1" customHeight="1" x14ac:dyDescent="0.25"/>
    <row r="172" ht="10.5" hidden="1" customHeight="1" x14ac:dyDescent="0.25"/>
    <row r="173" ht="10.5" hidden="1" customHeight="1" x14ac:dyDescent="0.25"/>
    <row r="174" ht="10.5" hidden="1" customHeight="1" x14ac:dyDescent="0.25"/>
    <row r="175" ht="10.5" hidden="1" customHeight="1" x14ac:dyDescent="0.25"/>
    <row r="176" ht="10.5" hidden="1" customHeight="1" x14ac:dyDescent="0.25"/>
    <row r="177" ht="10.5" hidden="1" customHeight="1" x14ac:dyDescent="0.25"/>
    <row r="178" ht="10.5" hidden="1" customHeight="1" x14ac:dyDescent="0.25"/>
    <row r="179" ht="10.5" hidden="1" customHeight="1" x14ac:dyDescent="0.25"/>
    <row r="180" ht="10.5" hidden="1" customHeight="1" x14ac:dyDescent="0.25"/>
    <row r="181" ht="10.5" hidden="1" customHeight="1" x14ac:dyDescent="0.25"/>
    <row r="182" ht="10.5" hidden="1" customHeight="1" x14ac:dyDescent="0.25"/>
    <row r="183" ht="10.5" hidden="1" customHeight="1" x14ac:dyDescent="0.25"/>
    <row r="184" ht="10.5" hidden="1" customHeight="1" x14ac:dyDescent="0.25"/>
    <row r="185" ht="10.5" hidden="1" customHeight="1" x14ac:dyDescent="0.25"/>
    <row r="186" ht="10.5" hidden="1" customHeight="1" x14ac:dyDescent="0.25"/>
    <row r="187" ht="10.5" hidden="1" customHeight="1" x14ac:dyDescent="0.25"/>
    <row r="188" ht="10.5" hidden="1" customHeight="1" x14ac:dyDescent="0.25"/>
    <row r="189" ht="10.5" hidden="1" customHeight="1" x14ac:dyDescent="0.25"/>
    <row r="190" ht="10.5" hidden="1" customHeight="1" x14ac:dyDescent="0.25"/>
    <row r="191" ht="10.5" hidden="1" customHeight="1" x14ac:dyDescent="0.25"/>
    <row r="192" ht="10.5" hidden="1" customHeight="1" x14ac:dyDescent="0.25"/>
    <row r="193" ht="10.5" hidden="1" customHeight="1" x14ac:dyDescent="0.25"/>
    <row r="194" ht="10.5" hidden="1" customHeight="1" x14ac:dyDescent="0.25"/>
    <row r="195" ht="10.5" hidden="1" customHeight="1" x14ac:dyDescent="0.25"/>
    <row r="196" ht="10.5" hidden="1" customHeight="1" x14ac:dyDescent="0.25"/>
    <row r="197" ht="10.5" hidden="1" customHeight="1" x14ac:dyDescent="0.25"/>
    <row r="198" ht="10.5" hidden="1" customHeight="1" x14ac:dyDescent="0.25"/>
    <row r="199" ht="10.5" hidden="1" customHeight="1" x14ac:dyDescent="0.25"/>
    <row r="200" ht="10.5" hidden="1" customHeight="1" x14ac:dyDescent="0.25"/>
    <row r="201" ht="10.5" hidden="1" customHeight="1" x14ac:dyDescent="0.25"/>
    <row r="202" ht="10.5" hidden="1" customHeight="1" x14ac:dyDescent="0.25"/>
    <row r="203" ht="10.5" hidden="1" customHeight="1" x14ac:dyDescent="0.25"/>
    <row r="204" ht="10.5" hidden="1" customHeight="1" x14ac:dyDescent="0.25"/>
    <row r="205" ht="10.5" hidden="1" customHeight="1" x14ac:dyDescent="0.25"/>
    <row r="206" ht="10.5" hidden="1" customHeight="1" x14ac:dyDescent="0.25"/>
    <row r="207" ht="10.5" hidden="1" customHeight="1" x14ac:dyDescent="0.25"/>
    <row r="208" ht="10.5" hidden="1" customHeight="1" x14ac:dyDescent="0.25"/>
    <row r="209" ht="10.5" hidden="1" customHeight="1" x14ac:dyDescent="0.25"/>
    <row r="210" ht="10.5" hidden="1" customHeight="1" x14ac:dyDescent="0.25"/>
    <row r="211" ht="10.5" hidden="1" customHeight="1" x14ac:dyDescent="0.25"/>
    <row r="212" ht="10.5" hidden="1" customHeight="1" x14ac:dyDescent="0.25"/>
    <row r="213" ht="10.5" hidden="1" customHeight="1" x14ac:dyDescent="0.25"/>
    <row r="214" ht="10.5" hidden="1" customHeight="1" x14ac:dyDescent="0.25"/>
    <row r="215" ht="10.5" hidden="1" customHeight="1" x14ac:dyDescent="0.25"/>
    <row r="216" ht="10.5" hidden="1" customHeight="1" x14ac:dyDescent="0.25"/>
    <row r="217" ht="10.5" hidden="1" customHeight="1" x14ac:dyDescent="0.25"/>
    <row r="218" ht="10.5" hidden="1" customHeight="1" x14ac:dyDescent="0.25"/>
    <row r="219" ht="10.5" hidden="1" customHeight="1" x14ac:dyDescent="0.25"/>
    <row r="220" ht="10.5" hidden="1" customHeight="1" x14ac:dyDescent="0.25"/>
    <row r="221" ht="10.5" hidden="1" customHeight="1" x14ac:dyDescent="0.25"/>
    <row r="222" ht="10.5" hidden="1" customHeight="1" x14ac:dyDescent="0.25"/>
    <row r="223" ht="10.5" hidden="1" customHeight="1" x14ac:dyDescent="0.25"/>
    <row r="224" ht="10.5" hidden="1" customHeight="1" x14ac:dyDescent="0.25"/>
    <row r="225" ht="10.5" hidden="1" customHeight="1" x14ac:dyDescent="0.25"/>
    <row r="226" ht="10.5" hidden="1" customHeight="1" x14ac:dyDescent="0.25"/>
    <row r="227" ht="10.5" hidden="1" customHeight="1" x14ac:dyDescent="0.25"/>
    <row r="228" ht="10.5" hidden="1" customHeight="1" x14ac:dyDescent="0.25"/>
    <row r="229" ht="10.5" hidden="1" customHeight="1" x14ac:dyDescent="0.25"/>
    <row r="230" ht="10.5" hidden="1" customHeight="1" x14ac:dyDescent="0.25"/>
    <row r="231" ht="10.5" hidden="1" customHeight="1" x14ac:dyDescent="0.25"/>
    <row r="232" ht="10.5" hidden="1" customHeight="1" x14ac:dyDescent="0.25"/>
    <row r="233" ht="10.5" hidden="1" customHeight="1" x14ac:dyDescent="0.25"/>
    <row r="234" ht="10.5" hidden="1" customHeight="1" x14ac:dyDescent="0.25"/>
    <row r="235" ht="10.5" hidden="1" customHeight="1" x14ac:dyDescent="0.25"/>
    <row r="236" ht="10.5" hidden="1" customHeight="1" x14ac:dyDescent="0.25"/>
    <row r="237" ht="10.5" hidden="1" customHeight="1" x14ac:dyDescent="0.25"/>
    <row r="238" ht="10.5" hidden="1" customHeight="1" x14ac:dyDescent="0.25"/>
    <row r="239" ht="10.5" hidden="1" customHeight="1" x14ac:dyDescent="0.25"/>
    <row r="240" ht="10.5" hidden="1" customHeight="1" x14ac:dyDescent="0.25"/>
    <row r="241" ht="10.5" hidden="1" customHeight="1" x14ac:dyDescent="0.25"/>
    <row r="242" ht="10.5" hidden="1" customHeight="1" x14ac:dyDescent="0.25"/>
    <row r="243" ht="10.5" hidden="1" customHeight="1" x14ac:dyDescent="0.25"/>
    <row r="244" ht="10.5" hidden="1" customHeight="1" x14ac:dyDescent="0.25"/>
    <row r="245" ht="10.5" hidden="1" customHeight="1" x14ac:dyDescent="0.25"/>
    <row r="246" ht="10.5" hidden="1" customHeight="1" x14ac:dyDescent="0.25"/>
    <row r="247" ht="10.5" hidden="1" customHeight="1" x14ac:dyDescent="0.25"/>
    <row r="248" ht="10.5" hidden="1" customHeight="1" x14ac:dyDescent="0.25"/>
    <row r="249" ht="10.5" hidden="1" customHeight="1" x14ac:dyDescent="0.25"/>
    <row r="250" ht="10.5" hidden="1" customHeight="1" x14ac:dyDescent="0.25"/>
    <row r="251" ht="10.5" hidden="1" customHeight="1" x14ac:dyDescent="0.25"/>
    <row r="252" ht="10.5" hidden="1" customHeight="1" x14ac:dyDescent="0.25"/>
    <row r="253" ht="10.5" hidden="1" customHeight="1" x14ac:dyDescent="0.25"/>
    <row r="254" ht="10.5" hidden="1" customHeight="1" x14ac:dyDescent="0.25"/>
    <row r="255" ht="10.5" hidden="1" customHeight="1" x14ac:dyDescent="0.25"/>
    <row r="256" ht="10.5" hidden="1" customHeight="1" x14ac:dyDescent="0.25"/>
    <row r="257" ht="10.5" hidden="1" customHeight="1" x14ac:dyDescent="0.25"/>
    <row r="258" ht="10.5" hidden="1" customHeight="1" x14ac:dyDescent="0.25"/>
    <row r="259" ht="10.5" hidden="1" customHeight="1" x14ac:dyDescent="0.25"/>
    <row r="260" ht="10.5" hidden="1" customHeight="1" x14ac:dyDescent="0.25"/>
    <row r="261" ht="10.5" hidden="1" customHeight="1" x14ac:dyDescent="0.25"/>
    <row r="262" ht="10.5" hidden="1" customHeight="1" x14ac:dyDescent="0.25"/>
    <row r="263" ht="10.5" hidden="1" customHeight="1" x14ac:dyDescent="0.25"/>
    <row r="264" ht="10.5" hidden="1" customHeight="1" x14ac:dyDescent="0.25"/>
    <row r="265" ht="10.5" hidden="1" customHeight="1" x14ac:dyDescent="0.25"/>
    <row r="266" ht="10.5" hidden="1" customHeight="1" x14ac:dyDescent="0.25"/>
    <row r="267" ht="10.5" hidden="1" customHeight="1" x14ac:dyDescent="0.25"/>
    <row r="268" ht="10.5" hidden="1" customHeight="1" x14ac:dyDescent="0.25"/>
    <row r="269" ht="10.5" hidden="1" customHeight="1" x14ac:dyDescent="0.25"/>
    <row r="270" ht="10.5" hidden="1" customHeight="1" x14ac:dyDescent="0.25"/>
    <row r="271" ht="10.5" hidden="1" customHeight="1" x14ac:dyDescent="0.25"/>
    <row r="272" ht="10.5" hidden="1" customHeight="1" x14ac:dyDescent="0.25"/>
    <row r="273" ht="10.5" hidden="1" customHeight="1" x14ac:dyDescent="0.25"/>
    <row r="274" ht="10.5" hidden="1" customHeight="1" x14ac:dyDescent="0.25"/>
    <row r="275" ht="10.5" hidden="1" customHeight="1" x14ac:dyDescent="0.25"/>
    <row r="276" ht="10.5" hidden="1" customHeight="1" x14ac:dyDescent="0.25"/>
    <row r="277" ht="10.5" hidden="1" customHeight="1" x14ac:dyDescent="0.25"/>
    <row r="278" ht="10.5" hidden="1" customHeight="1" x14ac:dyDescent="0.25"/>
    <row r="279" ht="10.5" hidden="1" customHeight="1" x14ac:dyDescent="0.25"/>
    <row r="280" ht="10.5" hidden="1" customHeight="1" x14ac:dyDescent="0.25"/>
    <row r="281" ht="10.5" hidden="1" customHeight="1" x14ac:dyDescent="0.25"/>
    <row r="282" ht="10.5" hidden="1" customHeight="1" x14ac:dyDescent="0.25"/>
    <row r="283" ht="10.5" hidden="1" customHeight="1" x14ac:dyDescent="0.25"/>
    <row r="284" ht="10.5" hidden="1" customHeight="1" x14ac:dyDescent="0.25"/>
    <row r="285" ht="10.5" hidden="1" customHeight="1" x14ac:dyDescent="0.25"/>
    <row r="286" ht="10.5" hidden="1" customHeight="1" x14ac:dyDescent="0.25"/>
    <row r="287" ht="10.5" hidden="1" customHeight="1" x14ac:dyDescent="0.25"/>
    <row r="288" ht="10.5" hidden="1" customHeight="1" x14ac:dyDescent="0.25"/>
    <row r="289" ht="10.5" hidden="1" customHeight="1" x14ac:dyDescent="0.25"/>
    <row r="290" ht="10.5" hidden="1" customHeight="1" x14ac:dyDescent="0.25"/>
    <row r="291" ht="10.5" hidden="1" customHeight="1" x14ac:dyDescent="0.25"/>
    <row r="292" ht="10.5" hidden="1" customHeight="1" x14ac:dyDescent="0.25"/>
    <row r="293" ht="10.5" hidden="1" customHeight="1" x14ac:dyDescent="0.25"/>
    <row r="294" ht="10.5" hidden="1" customHeight="1" x14ac:dyDescent="0.25"/>
    <row r="295" ht="10.5" hidden="1" customHeight="1" x14ac:dyDescent="0.25"/>
    <row r="296" ht="10.5" hidden="1" customHeight="1" x14ac:dyDescent="0.25"/>
    <row r="297" ht="10.5" hidden="1" customHeight="1" x14ac:dyDescent="0.25"/>
    <row r="298" ht="10.5" hidden="1" customHeight="1" x14ac:dyDescent="0.25"/>
    <row r="299" ht="10.5" hidden="1" customHeight="1" x14ac:dyDescent="0.25"/>
    <row r="300" ht="10.5" hidden="1" customHeight="1" x14ac:dyDescent="0.25"/>
    <row r="301" ht="10.5" hidden="1" customHeight="1" x14ac:dyDescent="0.25"/>
    <row r="302" ht="10.5" hidden="1" customHeight="1" x14ac:dyDescent="0.25"/>
    <row r="303" ht="10.5" hidden="1" customHeight="1" x14ac:dyDescent="0.25"/>
    <row r="304" ht="10.5" hidden="1" customHeight="1" x14ac:dyDescent="0.25"/>
    <row r="305" ht="10.5" hidden="1" customHeight="1" x14ac:dyDescent="0.25"/>
    <row r="306" ht="10.5" hidden="1" customHeight="1" x14ac:dyDescent="0.25"/>
    <row r="307" ht="10.5" hidden="1" customHeight="1" x14ac:dyDescent="0.25"/>
    <row r="308" ht="10.5" hidden="1" customHeight="1" x14ac:dyDescent="0.25"/>
    <row r="309" ht="10.5" hidden="1" customHeight="1" x14ac:dyDescent="0.25"/>
    <row r="310" ht="10.5" hidden="1" customHeight="1" x14ac:dyDescent="0.25"/>
    <row r="311" ht="10.5" hidden="1" customHeight="1" x14ac:dyDescent="0.25"/>
    <row r="312" ht="10.5" hidden="1" customHeight="1" x14ac:dyDescent="0.25"/>
    <row r="313" ht="10.5" hidden="1" customHeight="1" x14ac:dyDescent="0.25"/>
    <row r="314" ht="10.5" hidden="1" customHeight="1" x14ac:dyDescent="0.25"/>
    <row r="315" ht="10.5" hidden="1" customHeight="1" x14ac:dyDescent="0.25"/>
    <row r="316" ht="10.5" hidden="1" customHeight="1" x14ac:dyDescent="0.25"/>
    <row r="317" ht="10.5" hidden="1" customHeight="1" x14ac:dyDescent="0.25"/>
    <row r="318" ht="10.5" hidden="1" customHeight="1" x14ac:dyDescent="0.25"/>
    <row r="319" ht="10.5" hidden="1" customHeight="1" x14ac:dyDescent="0.25"/>
    <row r="320" ht="10.5" hidden="1" customHeight="1" x14ac:dyDescent="0.25"/>
    <row r="321" ht="10.5" hidden="1" customHeight="1" x14ac:dyDescent="0.25"/>
    <row r="322" ht="10.5" hidden="1" customHeight="1" x14ac:dyDescent="0.25"/>
    <row r="323" ht="10.5" hidden="1" customHeight="1" x14ac:dyDescent="0.25"/>
    <row r="324" ht="10.5" hidden="1" customHeight="1" x14ac:dyDescent="0.25"/>
    <row r="325" ht="10.5" hidden="1" customHeight="1" x14ac:dyDescent="0.25"/>
    <row r="326" ht="10.5" hidden="1" customHeight="1" x14ac:dyDescent="0.25"/>
    <row r="327" ht="10.5" hidden="1" customHeight="1" x14ac:dyDescent="0.25"/>
    <row r="328" ht="10.5" hidden="1" customHeight="1" x14ac:dyDescent="0.25"/>
    <row r="329" ht="10.5" hidden="1" customHeight="1" x14ac:dyDescent="0.25"/>
    <row r="330" ht="10.5" hidden="1" customHeight="1" x14ac:dyDescent="0.25"/>
    <row r="331" ht="10.5" hidden="1" customHeight="1" x14ac:dyDescent="0.25"/>
    <row r="332" ht="10.5" hidden="1" customHeight="1" x14ac:dyDescent="0.25"/>
    <row r="333" ht="10.5" hidden="1" customHeight="1" x14ac:dyDescent="0.25"/>
    <row r="334" ht="10.5" hidden="1" customHeight="1" x14ac:dyDescent="0.25"/>
    <row r="335" ht="10.5" hidden="1" customHeight="1" x14ac:dyDescent="0.25"/>
    <row r="336" ht="10.5" hidden="1" customHeight="1" x14ac:dyDescent="0.25"/>
    <row r="337" ht="10.5" hidden="1" customHeight="1" x14ac:dyDescent="0.25"/>
    <row r="338" ht="10.5" hidden="1" customHeight="1" x14ac:dyDescent="0.25"/>
    <row r="339" ht="10.5" hidden="1" customHeight="1" x14ac:dyDescent="0.25"/>
    <row r="340" ht="10.5" hidden="1" customHeight="1" x14ac:dyDescent="0.25"/>
    <row r="341" ht="10.5" hidden="1" customHeight="1" x14ac:dyDescent="0.25"/>
    <row r="342" ht="10.5" hidden="1" customHeight="1" x14ac:dyDescent="0.25"/>
    <row r="343" ht="10.5" hidden="1" customHeight="1" x14ac:dyDescent="0.25"/>
    <row r="344" ht="10.5" hidden="1" customHeight="1" x14ac:dyDescent="0.25"/>
    <row r="345" ht="10.5" hidden="1" customHeight="1" x14ac:dyDescent="0.25"/>
    <row r="346" ht="10.5" hidden="1" customHeight="1" x14ac:dyDescent="0.25"/>
    <row r="347" ht="10.5" hidden="1" customHeight="1" x14ac:dyDescent="0.25"/>
    <row r="348" ht="10.5" hidden="1" customHeight="1" x14ac:dyDescent="0.25"/>
    <row r="349" ht="10.5" hidden="1" customHeight="1" x14ac:dyDescent="0.25"/>
    <row r="350" ht="10.5" hidden="1" customHeight="1" x14ac:dyDescent="0.25"/>
    <row r="351" ht="10.5" hidden="1" customHeight="1" x14ac:dyDescent="0.25"/>
    <row r="352" ht="10.5" hidden="1" customHeight="1" x14ac:dyDescent="0.25"/>
    <row r="353" ht="10.5" hidden="1" customHeight="1" x14ac:dyDescent="0.25"/>
    <row r="354" ht="10.5" hidden="1" customHeight="1" x14ac:dyDescent="0.25"/>
    <row r="355" ht="10.5" hidden="1" customHeight="1" x14ac:dyDescent="0.25"/>
    <row r="356" ht="10.5" hidden="1" customHeight="1" x14ac:dyDescent="0.25"/>
    <row r="357" ht="10.5" hidden="1" customHeight="1" x14ac:dyDescent="0.25"/>
    <row r="358" ht="10.5" hidden="1" customHeight="1" x14ac:dyDescent="0.25"/>
    <row r="359" ht="10.5" hidden="1" customHeight="1" x14ac:dyDescent="0.25"/>
    <row r="360" ht="10.5" hidden="1" customHeight="1" x14ac:dyDescent="0.25"/>
    <row r="361" ht="10.5" hidden="1" customHeight="1" x14ac:dyDescent="0.25"/>
    <row r="362" ht="10.5" hidden="1" customHeight="1" x14ac:dyDescent="0.25"/>
    <row r="363" ht="10.5" hidden="1" customHeight="1" x14ac:dyDescent="0.25"/>
    <row r="364" ht="10.5" hidden="1" customHeight="1" x14ac:dyDescent="0.25"/>
    <row r="365" ht="10.5" hidden="1" customHeight="1" x14ac:dyDescent="0.25"/>
    <row r="366" ht="10.5" hidden="1" customHeight="1" x14ac:dyDescent="0.25"/>
    <row r="367" ht="10.5" hidden="1" customHeight="1" x14ac:dyDescent="0.25"/>
    <row r="368" ht="10.5" hidden="1" customHeight="1" x14ac:dyDescent="0.25"/>
    <row r="369" ht="10.5" hidden="1" customHeight="1" x14ac:dyDescent="0.25"/>
    <row r="370" ht="10.5" hidden="1" customHeight="1" x14ac:dyDescent="0.25"/>
    <row r="371" ht="10.5" hidden="1" customHeight="1" x14ac:dyDescent="0.25"/>
    <row r="372" ht="10.5" hidden="1" customHeight="1" x14ac:dyDescent="0.25"/>
    <row r="373" ht="10.5" hidden="1" customHeight="1" x14ac:dyDescent="0.25"/>
    <row r="374" ht="10.5" hidden="1" customHeight="1" x14ac:dyDescent="0.25"/>
    <row r="375" ht="10.5" hidden="1" customHeight="1" x14ac:dyDescent="0.25"/>
    <row r="376" ht="10.5" hidden="1" customHeight="1" x14ac:dyDescent="0.25"/>
    <row r="377" ht="10.5" hidden="1" customHeight="1" x14ac:dyDescent="0.25"/>
    <row r="378" ht="10.5" hidden="1" customHeight="1" x14ac:dyDescent="0.25"/>
    <row r="379" ht="10.5" hidden="1" customHeight="1" x14ac:dyDescent="0.25"/>
    <row r="380" ht="10.5" hidden="1" customHeight="1" x14ac:dyDescent="0.25"/>
    <row r="381" ht="10.5" hidden="1" customHeight="1" x14ac:dyDescent="0.25"/>
    <row r="382" ht="10.5" hidden="1" customHeight="1" x14ac:dyDescent="0.25"/>
    <row r="383" ht="10.5" hidden="1" customHeight="1" x14ac:dyDescent="0.25"/>
    <row r="384" ht="10.5" hidden="1" customHeight="1" x14ac:dyDescent="0.25"/>
    <row r="385" ht="10.5" hidden="1" customHeight="1" x14ac:dyDescent="0.25"/>
    <row r="386" ht="10.5" hidden="1" customHeight="1" x14ac:dyDescent="0.25"/>
    <row r="387" ht="10.5" hidden="1" customHeight="1" x14ac:dyDescent="0.25"/>
    <row r="388" ht="10.5" hidden="1" customHeight="1" x14ac:dyDescent="0.25"/>
    <row r="389" ht="10.5" hidden="1" customHeight="1" x14ac:dyDescent="0.25"/>
    <row r="390" ht="10.5" hidden="1" customHeight="1" x14ac:dyDescent="0.25"/>
    <row r="391" ht="10.5" hidden="1" customHeight="1" x14ac:dyDescent="0.25"/>
    <row r="392" ht="10.5" hidden="1" customHeight="1" x14ac:dyDescent="0.25"/>
    <row r="393" ht="10.5" hidden="1" customHeight="1" x14ac:dyDescent="0.25"/>
    <row r="394" ht="10.5" hidden="1" customHeight="1" x14ac:dyDescent="0.25"/>
    <row r="395" ht="10.5" hidden="1" customHeight="1" x14ac:dyDescent="0.25"/>
    <row r="396" ht="10.5" hidden="1" customHeight="1" x14ac:dyDescent="0.25"/>
    <row r="397" ht="10.5" hidden="1" customHeight="1" x14ac:dyDescent="0.25"/>
    <row r="398" ht="10.5" hidden="1" customHeight="1" x14ac:dyDescent="0.25"/>
    <row r="399" ht="10.5" hidden="1" customHeight="1" x14ac:dyDescent="0.25"/>
    <row r="400" ht="10.5" hidden="1" customHeight="1" x14ac:dyDescent="0.25"/>
    <row r="401" ht="10.5" hidden="1" customHeight="1" x14ac:dyDescent="0.25"/>
    <row r="402" ht="10.5" hidden="1" customHeight="1" x14ac:dyDescent="0.25"/>
    <row r="403" ht="10.5" hidden="1" customHeight="1" x14ac:dyDescent="0.25"/>
    <row r="404" ht="10.5" hidden="1" customHeight="1" x14ac:dyDescent="0.25"/>
    <row r="405" ht="10.5" hidden="1" customHeight="1" x14ac:dyDescent="0.25"/>
    <row r="406" ht="10.5" hidden="1" customHeight="1" x14ac:dyDescent="0.25"/>
    <row r="407" ht="10.5" hidden="1" customHeight="1" x14ac:dyDescent="0.25"/>
    <row r="408" ht="10.5" hidden="1" customHeight="1" x14ac:dyDescent="0.25"/>
    <row r="409" ht="10.5" hidden="1" customHeight="1" x14ac:dyDescent="0.25"/>
    <row r="410" ht="10.5" hidden="1" customHeight="1" x14ac:dyDescent="0.25"/>
    <row r="411" ht="10.5" hidden="1" customHeight="1" x14ac:dyDescent="0.25"/>
    <row r="412" ht="10.5" hidden="1" customHeight="1" x14ac:dyDescent="0.25"/>
    <row r="413" ht="10.5" hidden="1" customHeight="1" x14ac:dyDescent="0.25"/>
    <row r="414" ht="10.5" hidden="1" customHeight="1" x14ac:dyDescent="0.25"/>
    <row r="415" ht="10.5" hidden="1" customHeight="1" x14ac:dyDescent="0.25"/>
    <row r="416" ht="10.5" hidden="1" customHeight="1" x14ac:dyDescent="0.25"/>
    <row r="417" ht="10.5" hidden="1" customHeight="1" x14ac:dyDescent="0.25"/>
    <row r="418" ht="10.5" hidden="1" customHeight="1" x14ac:dyDescent="0.25"/>
    <row r="419" ht="10.5" hidden="1" customHeight="1" x14ac:dyDescent="0.25"/>
    <row r="420" ht="10.5" hidden="1" customHeight="1" x14ac:dyDescent="0.25"/>
    <row r="421" ht="10.5" hidden="1" customHeight="1" x14ac:dyDescent="0.25"/>
    <row r="422" ht="10.5" hidden="1" customHeight="1" x14ac:dyDescent="0.25"/>
    <row r="423" ht="10.5" hidden="1" customHeight="1" x14ac:dyDescent="0.25"/>
    <row r="424" ht="10.5" hidden="1" customHeight="1" x14ac:dyDescent="0.25"/>
    <row r="425" ht="10.5" hidden="1" customHeight="1" x14ac:dyDescent="0.25"/>
    <row r="426" ht="10.5" hidden="1" customHeight="1" x14ac:dyDescent="0.25"/>
    <row r="427" ht="10.5" hidden="1" customHeight="1" x14ac:dyDescent="0.25"/>
    <row r="428" ht="10.5" hidden="1" customHeight="1" x14ac:dyDescent="0.25"/>
    <row r="429" ht="10.5" hidden="1" customHeight="1" x14ac:dyDescent="0.25"/>
    <row r="430" ht="10.5" hidden="1" customHeight="1" x14ac:dyDescent="0.25"/>
    <row r="431" ht="10.5" hidden="1" customHeight="1" x14ac:dyDescent="0.25"/>
    <row r="432" ht="10.5" hidden="1" customHeight="1" x14ac:dyDescent="0.25"/>
    <row r="433" ht="10.5" hidden="1" customHeight="1" x14ac:dyDescent="0.25"/>
    <row r="434" ht="10.5" hidden="1" customHeight="1" x14ac:dyDescent="0.25"/>
    <row r="435" ht="10.5" hidden="1" customHeight="1" x14ac:dyDescent="0.25"/>
    <row r="436" ht="10.5" hidden="1" customHeight="1" x14ac:dyDescent="0.25"/>
    <row r="437" ht="10.5" hidden="1" customHeight="1" x14ac:dyDescent="0.25"/>
    <row r="438" ht="10.5" hidden="1" customHeight="1" x14ac:dyDescent="0.25"/>
    <row r="439" ht="10.5" hidden="1" customHeight="1" x14ac:dyDescent="0.25"/>
    <row r="440" ht="10.5" hidden="1" customHeight="1" x14ac:dyDescent="0.25"/>
    <row r="441" ht="10.5" hidden="1" customHeight="1" x14ac:dyDescent="0.25"/>
    <row r="442" ht="10.5" hidden="1" customHeight="1" x14ac:dyDescent="0.25"/>
    <row r="443" ht="10.5" hidden="1" customHeight="1" x14ac:dyDescent="0.25"/>
    <row r="444" ht="10.5" hidden="1" customHeight="1" x14ac:dyDescent="0.25"/>
    <row r="445" ht="10.5" hidden="1" customHeight="1" x14ac:dyDescent="0.25"/>
    <row r="446" ht="10.5" hidden="1" customHeight="1" x14ac:dyDescent="0.25"/>
    <row r="447" ht="10.5" hidden="1" customHeight="1" x14ac:dyDescent="0.25"/>
    <row r="448" ht="10.5" hidden="1" customHeight="1" x14ac:dyDescent="0.25"/>
    <row r="449" ht="10.5" hidden="1" customHeight="1" x14ac:dyDescent="0.25"/>
    <row r="450" ht="10.5" hidden="1" customHeight="1" x14ac:dyDescent="0.25"/>
    <row r="451" ht="10.5" hidden="1" customHeight="1" x14ac:dyDescent="0.25"/>
    <row r="452" ht="10.5" hidden="1" customHeight="1" x14ac:dyDescent="0.25"/>
    <row r="453" ht="10.5" hidden="1" customHeight="1" x14ac:dyDescent="0.25"/>
    <row r="454" ht="10.5" hidden="1" customHeight="1" x14ac:dyDescent="0.25"/>
    <row r="455" ht="10.5" hidden="1" customHeight="1" x14ac:dyDescent="0.25"/>
    <row r="456" ht="10.5" hidden="1" customHeight="1" x14ac:dyDescent="0.25"/>
    <row r="457" ht="10.5" hidden="1" customHeight="1" x14ac:dyDescent="0.25"/>
    <row r="458" ht="10.5" hidden="1" customHeight="1" x14ac:dyDescent="0.25"/>
    <row r="459" ht="10.5" hidden="1" customHeight="1" x14ac:dyDescent="0.25"/>
    <row r="460" ht="10.5" hidden="1" customHeight="1" x14ac:dyDescent="0.25"/>
    <row r="461" ht="10.5" hidden="1" customHeight="1" x14ac:dyDescent="0.25"/>
    <row r="462" ht="10.5" hidden="1" customHeight="1" x14ac:dyDescent="0.25"/>
    <row r="463" ht="10.5" hidden="1" customHeight="1" x14ac:dyDescent="0.25"/>
    <row r="464" ht="10.5" hidden="1" customHeight="1" x14ac:dyDescent="0.25"/>
    <row r="465" ht="10.5" hidden="1" customHeight="1" x14ac:dyDescent="0.25"/>
    <row r="466" ht="10.5" hidden="1" customHeight="1" x14ac:dyDescent="0.25"/>
    <row r="467" ht="10.5" hidden="1" customHeight="1" x14ac:dyDescent="0.25"/>
    <row r="468" ht="10.5" hidden="1" customHeight="1" x14ac:dyDescent="0.25"/>
    <row r="469" ht="10.5" hidden="1" customHeight="1" x14ac:dyDescent="0.25"/>
    <row r="470" ht="10.5" hidden="1" customHeight="1" x14ac:dyDescent="0.25"/>
    <row r="471" ht="10.5" hidden="1" customHeight="1" x14ac:dyDescent="0.25"/>
    <row r="472" ht="10.5" hidden="1" customHeight="1" x14ac:dyDescent="0.25"/>
    <row r="473" ht="10.5" hidden="1" customHeight="1" x14ac:dyDescent="0.25"/>
    <row r="474" ht="10.5" hidden="1" customHeight="1" x14ac:dyDescent="0.25"/>
    <row r="475" ht="10.5" hidden="1" customHeight="1" x14ac:dyDescent="0.25"/>
    <row r="476" ht="10.5" hidden="1" customHeight="1" x14ac:dyDescent="0.25"/>
    <row r="477" ht="10.5" hidden="1" customHeight="1" x14ac:dyDescent="0.25"/>
    <row r="478" ht="10.5" hidden="1" customHeight="1" x14ac:dyDescent="0.25"/>
    <row r="479" ht="10.5" hidden="1" customHeight="1" x14ac:dyDescent="0.25"/>
    <row r="480" ht="10.5" hidden="1" customHeight="1" x14ac:dyDescent="0.25"/>
    <row r="481" ht="10.5" hidden="1" customHeight="1" x14ac:dyDescent="0.25"/>
    <row r="482" ht="10.5" hidden="1" customHeight="1" x14ac:dyDescent="0.25"/>
    <row r="483" ht="10.5" hidden="1" customHeight="1" x14ac:dyDescent="0.25"/>
    <row r="484" ht="10.5" hidden="1" customHeight="1" x14ac:dyDescent="0.25"/>
    <row r="485" ht="10.5" hidden="1" customHeight="1" x14ac:dyDescent="0.25"/>
    <row r="486" ht="10.5" hidden="1" customHeight="1" x14ac:dyDescent="0.25"/>
    <row r="487" ht="10.5" hidden="1" customHeight="1" x14ac:dyDescent="0.25"/>
    <row r="488" ht="10.5" hidden="1" customHeight="1" x14ac:dyDescent="0.25"/>
    <row r="489" ht="10.5" hidden="1" customHeight="1" x14ac:dyDescent="0.25"/>
    <row r="490" ht="10.5" hidden="1" customHeight="1" x14ac:dyDescent="0.25"/>
    <row r="491" ht="10.5" hidden="1" customHeight="1" x14ac:dyDescent="0.25"/>
    <row r="492" ht="10.5" hidden="1" customHeight="1" x14ac:dyDescent="0.25"/>
    <row r="493" ht="10.5" hidden="1" customHeight="1" x14ac:dyDescent="0.25"/>
    <row r="494" ht="10.5" hidden="1" customHeight="1" x14ac:dyDescent="0.25"/>
    <row r="495" ht="10.5" hidden="1" customHeight="1" x14ac:dyDescent="0.25"/>
    <row r="496" ht="10.5" hidden="1" customHeight="1" x14ac:dyDescent="0.25"/>
    <row r="497" ht="10.5" hidden="1" customHeight="1" x14ac:dyDescent="0.25"/>
    <row r="498" ht="10.5" hidden="1" customHeight="1" x14ac:dyDescent="0.25"/>
    <row r="499" ht="10.5" hidden="1" customHeight="1" x14ac:dyDescent="0.25"/>
    <row r="500" ht="10.5" hidden="1" customHeight="1" x14ac:dyDescent="0.25"/>
    <row r="501" ht="10.5" hidden="1" customHeight="1" x14ac:dyDescent="0.25"/>
    <row r="502" ht="10.5" hidden="1" customHeight="1" x14ac:dyDescent="0.25"/>
    <row r="503" ht="10.5" hidden="1" customHeight="1" x14ac:dyDescent="0.25"/>
    <row r="504" ht="10.5" hidden="1" customHeight="1" x14ac:dyDescent="0.25"/>
    <row r="505" ht="10.5" hidden="1" customHeight="1" x14ac:dyDescent="0.25"/>
    <row r="506" ht="10.5" hidden="1" customHeight="1" x14ac:dyDescent="0.25"/>
    <row r="507" ht="10.5" hidden="1" customHeight="1" x14ac:dyDescent="0.25"/>
    <row r="508" ht="10.5" hidden="1" customHeight="1" x14ac:dyDescent="0.25"/>
    <row r="509" ht="10.5" hidden="1" customHeight="1" x14ac:dyDescent="0.25"/>
    <row r="510" ht="10.5" hidden="1" customHeight="1" x14ac:dyDescent="0.25"/>
    <row r="511" ht="10.5" hidden="1" customHeight="1" x14ac:dyDescent="0.25"/>
    <row r="512" ht="10.5" hidden="1" customHeight="1" x14ac:dyDescent="0.25"/>
    <row r="513" ht="10.5" hidden="1" customHeight="1" x14ac:dyDescent="0.25"/>
    <row r="514" ht="10.5" hidden="1" customHeight="1" x14ac:dyDescent="0.25"/>
    <row r="515" ht="10.5" hidden="1" customHeight="1" x14ac:dyDescent="0.25"/>
    <row r="516" ht="10.5" hidden="1" customHeight="1" x14ac:dyDescent="0.25"/>
    <row r="517" ht="10.5" hidden="1" customHeight="1" x14ac:dyDescent="0.25"/>
    <row r="518" ht="10.5" hidden="1" customHeight="1" x14ac:dyDescent="0.25"/>
    <row r="519" ht="10.5" hidden="1" customHeight="1" x14ac:dyDescent="0.25"/>
    <row r="520" ht="10.5" hidden="1" customHeight="1" x14ac:dyDescent="0.25"/>
    <row r="521" ht="10.5" hidden="1" customHeight="1" x14ac:dyDescent="0.25"/>
    <row r="522" ht="10.5" hidden="1" customHeight="1" x14ac:dyDescent="0.25"/>
    <row r="523" ht="10.5" hidden="1" customHeight="1" x14ac:dyDescent="0.25"/>
    <row r="524" ht="10.5" hidden="1" customHeight="1" x14ac:dyDescent="0.25"/>
    <row r="525" ht="10.5" hidden="1" customHeight="1" x14ac:dyDescent="0.25"/>
    <row r="526" ht="10.5" hidden="1" customHeight="1" x14ac:dyDescent="0.25"/>
    <row r="527" ht="10.5" hidden="1" customHeight="1" x14ac:dyDescent="0.25"/>
    <row r="528" ht="10.5" hidden="1" customHeight="1" x14ac:dyDescent="0.25"/>
    <row r="529" ht="10.5" hidden="1" customHeight="1" x14ac:dyDescent="0.25"/>
    <row r="530" ht="10.5" hidden="1" customHeight="1" x14ac:dyDescent="0.25"/>
    <row r="531" ht="10.5" hidden="1" customHeight="1" x14ac:dyDescent="0.25"/>
    <row r="532" ht="10.5" hidden="1" customHeight="1" x14ac:dyDescent="0.25"/>
    <row r="533" ht="10.5" hidden="1" customHeight="1" x14ac:dyDescent="0.25"/>
    <row r="534" ht="10.5" hidden="1" customHeight="1" x14ac:dyDescent="0.25"/>
    <row r="535" ht="10.5" hidden="1" customHeight="1" x14ac:dyDescent="0.25"/>
    <row r="536" ht="10.5" hidden="1" customHeight="1" x14ac:dyDescent="0.25"/>
    <row r="537" ht="10.5" hidden="1" customHeight="1" x14ac:dyDescent="0.25"/>
    <row r="538" ht="10.5" hidden="1" customHeight="1" x14ac:dyDescent="0.25"/>
    <row r="539" ht="10.5" hidden="1" customHeight="1" x14ac:dyDescent="0.25"/>
    <row r="540" ht="10.5" hidden="1" customHeight="1" x14ac:dyDescent="0.25"/>
    <row r="541" ht="10.5" hidden="1" customHeight="1" x14ac:dyDescent="0.25"/>
    <row r="542" ht="10.5" hidden="1" customHeight="1" x14ac:dyDescent="0.25"/>
    <row r="543" ht="10.5" hidden="1" customHeight="1" x14ac:dyDescent="0.25"/>
    <row r="544" ht="10.5" hidden="1" customHeight="1" x14ac:dyDescent="0.25"/>
    <row r="545" ht="10.5" hidden="1" customHeight="1" x14ac:dyDescent="0.25"/>
    <row r="546" ht="10.5" hidden="1" customHeight="1" x14ac:dyDescent="0.25"/>
    <row r="547" ht="10.5" hidden="1" customHeight="1" x14ac:dyDescent="0.25"/>
    <row r="548" ht="10.5" hidden="1" customHeight="1" x14ac:dyDescent="0.25"/>
    <row r="549" ht="10.5" hidden="1" customHeight="1" x14ac:dyDescent="0.25"/>
    <row r="550" ht="10.5" hidden="1" customHeight="1" x14ac:dyDescent="0.25"/>
    <row r="551" ht="10.5" hidden="1" customHeight="1" x14ac:dyDescent="0.25"/>
    <row r="552" ht="10.5" hidden="1" customHeight="1" x14ac:dyDescent="0.25"/>
    <row r="553" ht="10.5" hidden="1" customHeight="1" x14ac:dyDescent="0.25"/>
    <row r="554" ht="10.5" hidden="1" customHeight="1" x14ac:dyDescent="0.25"/>
    <row r="555" ht="10.5" hidden="1" customHeight="1" x14ac:dyDescent="0.25"/>
    <row r="556" ht="10.5" hidden="1" customHeight="1" x14ac:dyDescent="0.25"/>
    <row r="557" ht="10.5" hidden="1" customHeight="1" x14ac:dyDescent="0.25"/>
    <row r="558" ht="10.5" hidden="1" customHeight="1" x14ac:dyDescent="0.25"/>
    <row r="559" ht="10.5" hidden="1" customHeight="1" x14ac:dyDescent="0.25"/>
    <row r="560" ht="10.5" hidden="1" customHeight="1" x14ac:dyDescent="0.25"/>
    <row r="561" ht="10.5" hidden="1" customHeight="1" x14ac:dyDescent="0.25"/>
    <row r="562" ht="10.5" hidden="1" customHeight="1" x14ac:dyDescent="0.25"/>
    <row r="563" ht="10.5" hidden="1" customHeight="1" x14ac:dyDescent="0.25"/>
    <row r="564" ht="10.5" hidden="1" customHeight="1" x14ac:dyDescent="0.25"/>
    <row r="565" ht="10.5" hidden="1" customHeight="1" x14ac:dyDescent="0.25"/>
    <row r="566" ht="10.5" hidden="1" customHeight="1" x14ac:dyDescent="0.25"/>
    <row r="567" ht="10.5" hidden="1" customHeight="1" x14ac:dyDescent="0.25"/>
    <row r="568" ht="10.5" hidden="1" customHeight="1" x14ac:dyDescent="0.25"/>
    <row r="569" ht="10.5" hidden="1" customHeight="1" x14ac:dyDescent="0.25"/>
    <row r="570" ht="10.5" hidden="1" customHeight="1" x14ac:dyDescent="0.25"/>
    <row r="571" ht="10.5" hidden="1" customHeight="1" x14ac:dyDescent="0.25"/>
    <row r="572" ht="10.5" hidden="1" customHeight="1" x14ac:dyDescent="0.25"/>
    <row r="573" ht="10.5" hidden="1" customHeight="1" x14ac:dyDescent="0.25"/>
    <row r="574" ht="10.5" hidden="1" customHeight="1" x14ac:dyDescent="0.25"/>
    <row r="575" ht="10.5" hidden="1" customHeight="1" x14ac:dyDescent="0.25"/>
    <row r="576" ht="10.5" hidden="1" customHeight="1" x14ac:dyDescent="0.25"/>
    <row r="577" ht="10.5" hidden="1" customHeight="1" x14ac:dyDescent="0.25"/>
    <row r="578" ht="10.5" hidden="1" customHeight="1" x14ac:dyDescent="0.25"/>
    <row r="579" ht="10.5" hidden="1" customHeight="1" x14ac:dyDescent="0.25"/>
    <row r="580" ht="10.5" hidden="1" customHeight="1" x14ac:dyDescent="0.25"/>
    <row r="581" ht="10.5" hidden="1" customHeight="1" x14ac:dyDescent="0.25"/>
    <row r="582" ht="10.5" hidden="1" customHeight="1" x14ac:dyDescent="0.25"/>
    <row r="583" ht="10.5" hidden="1" customHeight="1" x14ac:dyDescent="0.25"/>
    <row r="584" ht="10.5" hidden="1" customHeight="1" x14ac:dyDescent="0.25"/>
    <row r="585" ht="10.5" hidden="1" customHeight="1" x14ac:dyDescent="0.25"/>
    <row r="586" ht="10.5" hidden="1" customHeight="1" x14ac:dyDescent="0.25"/>
    <row r="587" ht="10.5" hidden="1" customHeight="1" x14ac:dyDescent="0.25"/>
    <row r="588" ht="10.5" hidden="1" customHeight="1" x14ac:dyDescent="0.25"/>
    <row r="589" ht="10.5" hidden="1" customHeight="1" x14ac:dyDescent="0.25"/>
    <row r="590" ht="10.5" hidden="1" customHeight="1" x14ac:dyDescent="0.25"/>
    <row r="591" ht="10.5" hidden="1" customHeight="1" x14ac:dyDescent="0.25"/>
    <row r="592" ht="10.5" hidden="1" customHeight="1" x14ac:dyDescent="0.25"/>
    <row r="593" ht="10.5" hidden="1" customHeight="1" x14ac:dyDescent="0.25"/>
    <row r="594" ht="10.5" hidden="1" customHeight="1" x14ac:dyDescent="0.25"/>
    <row r="595" ht="10.5" hidden="1" customHeight="1" x14ac:dyDescent="0.25"/>
    <row r="596" ht="10.5" hidden="1" customHeight="1" x14ac:dyDescent="0.25"/>
    <row r="597" ht="10.5" hidden="1" customHeight="1" x14ac:dyDescent="0.25"/>
    <row r="598" ht="10.5" hidden="1" customHeight="1" x14ac:dyDescent="0.25"/>
    <row r="599" ht="10.5" hidden="1" customHeight="1" x14ac:dyDescent="0.25"/>
    <row r="600" ht="10.5" hidden="1" customHeight="1" x14ac:dyDescent="0.25"/>
    <row r="601" ht="10.5" hidden="1" customHeight="1" x14ac:dyDescent="0.25"/>
    <row r="602" ht="10.5" hidden="1" customHeight="1" x14ac:dyDescent="0.25"/>
    <row r="603" ht="10.5" hidden="1" customHeight="1" x14ac:dyDescent="0.25"/>
    <row r="604" ht="10.5" hidden="1" customHeight="1" x14ac:dyDescent="0.25"/>
    <row r="605" ht="10.5" hidden="1" customHeight="1" x14ac:dyDescent="0.25"/>
    <row r="606" ht="10.5" hidden="1" customHeight="1" x14ac:dyDescent="0.25"/>
    <row r="607" ht="10.5" hidden="1" customHeight="1" x14ac:dyDescent="0.25"/>
    <row r="608" ht="10.5" hidden="1" customHeight="1" x14ac:dyDescent="0.25"/>
    <row r="609" ht="10.5" hidden="1" customHeight="1" x14ac:dyDescent="0.25"/>
    <row r="610" ht="10.5" hidden="1" customHeight="1" x14ac:dyDescent="0.25"/>
    <row r="611" ht="10.5" hidden="1" customHeight="1" x14ac:dyDescent="0.25"/>
    <row r="612" ht="10.5" hidden="1" customHeight="1" x14ac:dyDescent="0.25"/>
    <row r="613" ht="10.5" hidden="1" customHeight="1" x14ac:dyDescent="0.25"/>
    <row r="614" ht="10.5" hidden="1" customHeight="1" x14ac:dyDescent="0.25"/>
    <row r="615" ht="10.5" hidden="1" customHeight="1" x14ac:dyDescent="0.25"/>
    <row r="616" ht="10.5" hidden="1" customHeight="1" x14ac:dyDescent="0.25"/>
    <row r="617" ht="10.5" hidden="1" customHeight="1" x14ac:dyDescent="0.25"/>
    <row r="618" ht="10.5" hidden="1" customHeight="1" x14ac:dyDescent="0.25"/>
    <row r="619" ht="10.5" hidden="1" customHeight="1" x14ac:dyDescent="0.25"/>
    <row r="620" ht="10.5" hidden="1" customHeight="1" x14ac:dyDescent="0.25"/>
    <row r="621" ht="10.5" hidden="1" customHeight="1" x14ac:dyDescent="0.25"/>
    <row r="622" ht="10.5" hidden="1" customHeight="1" x14ac:dyDescent="0.25"/>
    <row r="623" ht="10.5" hidden="1" customHeight="1" x14ac:dyDescent="0.25"/>
    <row r="624" ht="10.5" hidden="1" customHeight="1" x14ac:dyDescent="0.25"/>
    <row r="625" ht="10.5" hidden="1" customHeight="1" x14ac:dyDescent="0.25"/>
    <row r="626" ht="10.5" hidden="1" customHeight="1" x14ac:dyDescent="0.25"/>
    <row r="627" ht="10.5" hidden="1" customHeight="1" x14ac:dyDescent="0.25"/>
    <row r="628" ht="10.5" hidden="1" customHeight="1" x14ac:dyDescent="0.25"/>
    <row r="629" ht="10.5" hidden="1" customHeight="1" x14ac:dyDescent="0.25"/>
    <row r="630" ht="10.5" hidden="1" customHeight="1" x14ac:dyDescent="0.25"/>
    <row r="631" ht="10.5" hidden="1" customHeight="1" x14ac:dyDescent="0.25"/>
    <row r="632" ht="10.5" hidden="1" customHeight="1" x14ac:dyDescent="0.25"/>
    <row r="633" ht="10.5" hidden="1" customHeight="1" x14ac:dyDescent="0.25"/>
    <row r="634" ht="10.5" hidden="1" customHeight="1" x14ac:dyDescent="0.25"/>
  </sheetData>
  <sheetProtection algorithmName="SHA-512" hashValue="GTvSiC1djrV/2rLHQkzP9z9Q7K4zFPUlTLpyRWAxQbE77Gvxk+Yuu0BJHj3U837qWvpkpug9dZ/Yx/zu12kDeQ==" saltValue="ua5BMtJ69Ue8hiUhFcGHYQ==" spinCount="100000" sheet="1" objects="1" scenarios="1"/>
  <autoFilter ref="A1:M106"/>
  <conditionalFormatting sqref="L1:M26">
    <cfRule type="containsText" dxfId="20" priority="3" operator="containsText" text="NULL">
      <formula>NOT(ISERROR(SEARCH("NULL",L1)))</formula>
    </cfRule>
  </conditionalFormatting>
  <conditionalFormatting sqref="L27:M106">
    <cfRule type="containsText" dxfId="19" priority="2" operator="containsText" text="NULL">
      <formula>NOT(ISERROR(SEARCH("NULL",L27)))</formula>
    </cfRule>
  </conditionalFormatting>
  <conditionalFormatting sqref="L109:M109">
    <cfRule type="containsText" dxfId="18" priority="1" operator="containsText" text="NULL">
      <formula>NOT(ISERROR(SEARCH("NULL",L109)))</formula>
    </cfRule>
  </conditionalFormatting>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extLst>
    <ext xmlns:x14="http://schemas.microsoft.com/office/spreadsheetml/2009/9/main" uri="{CCE6A557-97BC-4b89-ADB6-D9C93CAAB3DF}">
      <x14:dataValidations xmlns:xm="http://schemas.microsoft.com/office/excel/2006/main" count="1">
        <x14:dataValidation type="list" allowBlank="1">
          <x14:formula1>
            <xm:f>lists!$D$2:$D$4</xm:f>
          </x14:formula1>
          <xm:sqref>M2:M26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C000"/>
    <pageSetUpPr autoPageBreaks="0"/>
  </sheetPr>
  <dimension ref="A1:F21"/>
  <sheetViews>
    <sheetView showGridLines="0" zoomScaleNormal="100" workbookViewId="0">
      <pane ySplit="1" topLeftCell="A2" activePane="bottomLeft" state="frozen"/>
      <selection activeCell="I44" sqref="I44"/>
      <selection pane="bottomLeft" activeCell="B3" sqref="B3"/>
    </sheetView>
  </sheetViews>
  <sheetFormatPr defaultColWidth="0" defaultRowHeight="13.8" zeroHeight="1" x14ac:dyDescent="0.25"/>
  <cols>
    <col min="1" max="1" width="5.6640625" customWidth="1"/>
    <col min="2" max="2" width="25.6640625" customWidth="1"/>
    <col min="3" max="3" width="5.6640625" customWidth="1"/>
    <col min="4" max="4" width="45.6640625" customWidth="1"/>
    <col min="5" max="5" width="5.6640625" customWidth="1"/>
    <col min="6" max="6" width="45.6640625" customWidth="1"/>
    <col min="7" max="16384" width="9.109375" hidden="1"/>
  </cols>
  <sheetData>
    <row r="1" spans="1:6" s="44" customFormat="1" ht="21" customHeight="1" x14ac:dyDescent="0.25">
      <c r="A1" s="32"/>
      <c r="B1" s="45" t="s">
        <v>1280</v>
      </c>
      <c r="C1" s="46"/>
      <c r="D1" s="50" t="s">
        <v>1339</v>
      </c>
      <c r="E1" s="46"/>
      <c r="F1" s="50" t="s">
        <v>1340</v>
      </c>
    </row>
    <row r="2" spans="1:6" s="44" customFormat="1" ht="10.5" customHeight="1" x14ac:dyDescent="0.25">
      <c r="A2" s="357">
        <v>1</v>
      </c>
      <c r="B2" s="47" t="s">
        <v>53</v>
      </c>
      <c r="C2" s="355">
        <v>1</v>
      </c>
      <c r="D2" s="47" t="s">
        <v>1479</v>
      </c>
      <c r="E2" s="356">
        <v>1</v>
      </c>
      <c r="F2" s="47" t="s">
        <v>84</v>
      </c>
    </row>
    <row r="3" spans="1:6" s="44" customFormat="1" ht="10.5" customHeight="1" x14ac:dyDescent="0.25">
      <c r="A3" s="357">
        <v>2</v>
      </c>
      <c r="B3" s="49" t="s">
        <v>54</v>
      </c>
      <c r="C3" s="355">
        <v>2</v>
      </c>
      <c r="D3" s="47" t="s">
        <v>1481</v>
      </c>
      <c r="E3" s="356">
        <v>2</v>
      </c>
      <c r="F3" s="47" t="s">
        <v>72</v>
      </c>
    </row>
    <row r="4" spans="1:6" s="44" customFormat="1" ht="10.5" customHeight="1" x14ac:dyDescent="0.25">
      <c r="A4" s="357">
        <v>3</v>
      </c>
      <c r="B4" s="126" t="s">
        <v>381</v>
      </c>
      <c r="C4" s="355">
        <v>3</v>
      </c>
      <c r="D4" s="47" t="s">
        <v>1482</v>
      </c>
      <c r="E4" s="356">
        <v>3</v>
      </c>
      <c r="F4" s="47" t="s">
        <v>73</v>
      </c>
    </row>
    <row r="5" spans="1:6" s="44" customFormat="1" ht="10.5" customHeight="1" x14ac:dyDescent="0.25">
      <c r="A5" s="354"/>
      <c r="B5" s="48"/>
      <c r="C5" s="355">
        <v>4</v>
      </c>
      <c r="D5" s="359" t="s">
        <v>1489</v>
      </c>
      <c r="E5" s="356">
        <v>4</v>
      </c>
      <c r="F5" s="551" t="s">
        <v>1570</v>
      </c>
    </row>
    <row r="6" spans="1:6" s="44" customFormat="1" ht="10.5" customHeight="1" x14ac:dyDescent="0.25">
      <c r="A6" s="354"/>
      <c r="B6" s="48"/>
      <c r="C6" s="355">
        <v>5</v>
      </c>
      <c r="D6" s="47" t="s">
        <v>83</v>
      </c>
      <c r="E6" s="356">
        <v>5</v>
      </c>
      <c r="F6" s="47" t="s">
        <v>74</v>
      </c>
    </row>
    <row r="7" spans="1:6" s="44" customFormat="1" ht="10.5" customHeight="1" x14ac:dyDescent="0.25">
      <c r="A7" s="354"/>
      <c r="B7" s="48"/>
      <c r="C7" s="355">
        <v>6</v>
      </c>
      <c r="D7" s="47" t="s">
        <v>1208</v>
      </c>
      <c r="E7" s="356">
        <v>6</v>
      </c>
      <c r="F7" s="47" t="s">
        <v>75</v>
      </c>
    </row>
    <row r="8" spans="1:6" s="44" customFormat="1" ht="10.5" customHeight="1" x14ac:dyDescent="0.25">
      <c r="A8" s="354"/>
      <c r="B8" s="48"/>
      <c r="C8" s="355">
        <v>7</v>
      </c>
      <c r="D8" s="353" t="s">
        <v>1483</v>
      </c>
      <c r="E8" s="356">
        <v>7</v>
      </c>
      <c r="F8" s="47" t="s">
        <v>76</v>
      </c>
    </row>
    <row r="9" spans="1:6" s="44" customFormat="1" ht="10.5" customHeight="1" x14ac:dyDescent="0.25">
      <c r="A9" s="354"/>
      <c r="B9" s="48"/>
      <c r="C9" s="355">
        <v>8</v>
      </c>
      <c r="D9" s="353" t="s">
        <v>1484</v>
      </c>
      <c r="E9" s="356">
        <v>8</v>
      </c>
      <c r="F9" s="47" t="s">
        <v>77</v>
      </c>
    </row>
    <row r="10" spans="1:6" s="44" customFormat="1" ht="10.5" customHeight="1" x14ac:dyDescent="0.25">
      <c r="A10" s="354"/>
      <c r="B10" s="48"/>
      <c r="C10" s="355">
        <v>9</v>
      </c>
      <c r="D10" s="47" t="s">
        <v>1485</v>
      </c>
      <c r="E10" s="356">
        <v>9</v>
      </c>
      <c r="F10" s="47" t="s">
        <v>78</v>
      </c>
    </row>
    <row r="11" spans="1:6" s="44" customFormat="1" ht="10.5" customHeight="1" x14ac:dyDescent="0.25">
      <c r="A11" s="354"/>
      <c r="B11" s="48"/>
      <c r="C11" s="355">
        <v>10</v>
      </c>
      <c r="D11" s="47" t="s">
        <v>1478</v>
      </c>
      <c r="E11" s="356">
        <v>10</v>
      </c>
      <c r="F11" s="551" t="s">
        <v>1569</v>
      </c>
    </row>
    <row r="12" spans="1:6" s="44" customFormat="1" ht="10.5" customHeight="1" x14ac:dyDescent="0.25">
      <c r="A12" s="354"/>
      <c r="B12" s="48"/>
      <c r="C12" s="355">
        <v>11</v>
      </c>
      <c r="D12" s="359" t="s">
        <v>1490</v>
      </c>
      <c r="E12" s="356">
        <v>11</v>
      </c>
      <c r="F12" s="47" t="s">
        <v>80</v>
      </c>
    </row>
    <row r="13" spans="1:6" s="44" customFormat="1" ht="10.5" customHeight="1" x14ac:dyDescent="0.25">
      <c r="A13" s="354"/>
      <c r="B13" s="48"/>
      <c r="C13" s="355">
        <v>12</v>
      </c>
      <c r="D13" s="359" t="s">
        <v>1491</v>
      </c>
      <c r="E13" s="356">
        <v>12</v>
      </c>
      <c r="F13" s="47" t="s">
        <v>81</v>
      </c>
    </row>
    <row r="14" spans="1:6" s="44" customFormat="1" ht="10.5" customHeight="1" x14ac:dyDescent="0.25">
      <c r="A14" s="354"/>
      <c r="B14" s="48"/>
      <c r="C14" s="355">
        <v>13</v>
      </c>
      <c r="D14" s="47" t="s">
        <v>1492</v>
      </c>
      <c r="E14" s="356">
        <v>13</v>
      </c>
      <c r="F14" s="47" t="s">
        <v>82</v>
      </c>
    </row>
    <row r="15" spans="1:6" s="44" customFormat="1" ht="10.5" customHeight="1" x14ac:dyDescent="0.25">
      <c r="A15" s="354"/>
      <c r="B15" s="48"/>
      <c r="C15" s="355">
        <v>14</v>
      </c>
      <c r="D15" s="47" t="s">
        <v>82</v>
      </c>
      <c r="E15" s="356">
        <v>14</v>
      </c>
      <c r="F15" s="47" t="s">
        <v>1571</v>
      </c>
    </row>
    <row r="16" spans="1:6" s="44" customFormat="1" ht="10.5" customHeight="1" x14ac:dyDescent="0.25">
      <c r="A16" s="354"/>
      <c r="B16" s="48"/>
      <c r="C16" s="355">
        <v>15</v>
      </c>
      <c r="D16" s="47" t="s">
        <v>1480</v>
      </c>
      <c r="E16" s="356">
        <v>15</v>
      </c>
      <c r="F16" s="49" t="s">
        <v>1572</v>
      </c>
    </row>
    <row r="17" spans="1:6" s="44" customFormat="1" ht="10.5" customHeight="1" x14ac:dyDescent="0.25">
      <c r="A17" s="354"/>
      <c r="B17" s="48"/>
      <c r="C17" s="355">
        <v>16</v>
      </c>
      <c r="D17" s="47" t="s">
        <v>79</v>
      </c>
      <c r="E17" s="356">
        <v>99</v>
      </c>
      <c r="F17" s="47" t="s">
        <v>58</v>
      </c>
    </row>
    <row r="18" spans="1:6" ht="10.5" customHeight="1" x14ac:dyDescent="0.25">
      <c r="C18" s="355">
        <v>99</v>
      </c>
      <c r="D18" s="47" t="s">
        <v>58</v>
      </c>
      <c r="E18" s="557">
        <v>999</v>
      </c>
      <c r="F18" s="49" t="s">
        <v>1209</v>
      </c>
    </row>
    <row r="19" spans="1:6" ht="10.5" customHeight="1" x14ac:dyDescent="0.25">
      <c r="C19" s="355">
        <v>999</v>
      </c>
      <c r="D19" s="49" t="s">
        <v>1209</v>
      </c>
    </row>
    <row r="20" spans="1:6" ht="10.5" customHeight="1" x14ac:dyDescent="0.25">
      <c r="D20" s="44"/>
    </row>
    <row r="21" spans="1:6" ht="10.5" customHeight="1" x14ac:dyDescent="0.25"/>
  </sheetData>
  <sheetProtection algorithmName="SHA-512" hashValue="+N3vHb0XeLZC561HVFVosa8LffvCUv3CXd4DJ7bI6P3byOCvngtwZq+VW9/Xn5kh+9LCn+EP/XifvVYelTL+KQ==" saltValue="trkpus5YzZTm1vE5fgH7Bw==" spinCount="100000" sheet="1" objects="1" scenarios="1"/>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tableParts count="3">
    <tablePart r:id="rId2"/>
    <tablePart r:id="rId3"/>
    <tablePart r:id="rId4"/>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C000"/>
    <pageSetUpPr autoPageBreaks="0"/>
  </sheetPr>
  <dimension ref="A1:AD251"/>
  <sheetViews>
    <sheetView showGridLines="0" topLeftCell="C1" zoomScaleNormal="100" workbookViewId="0">
      <pane ySplit="1" topLeftCell="A2" activePane="bottomLeft" state="frozen"/>
      <selection pane="bottomLeft" activeCell="H6" sqref="H6:K17"/>
    </sheetView>
  </sheetViews>
  <sheetFormatPr defaultColWidth="9.109375" defaultRowHeight="10.199999999999999" x14ac:dyDescent="0.25"/>
  <cols>
    <col min="1" max="1" width="3.5546875" style="6" bestFit="1" customWidth="1"/>
    <col min="2" max="2" width="25" style="6" bestFit="1" customWidth="1"/>
    <col min="3" max="3" width="12.109375" style="6" bestFit="1" customWidth="1"/>
    <col min="4" max="4" width="9.5546875" style="6" bestFit="1" customWidth="1"/>
    <col min="5" max="5" width="9.109375" style="6"/>
    <col min="6" max="6" width="26.44140625" style="6" bestFit="1" customWidth="1"/>
    <col min="7" max="7" width="11.6640625" style="6" bestFit="1" customWidth="1"/>
    <col min="8" max="8" width="11.6640625" style="6" customWidth="1"/>
    <col min="9" max="9" width="45.6640625" style="6" customWidth="1"/>
    <col min="10" max="10" width="18" style="6" customWidth="1"/>
    <col min="11" max="11" width="17.33203125" style="6" customWidth="1"/>
    <col min="12" max="13" width="18.33203125" style="6" bestFit="1" customWidth="1"/>
    <col min="14" max="14" width="53" style="6" bestFit="1" customWidth="1"/>
    <col min="15" max="15" width="12" style="6" bestFit="1" customWidth="1"/>
    <col min="16" max="16" width="22.88671875" style="6" bestFit="1" customWidth="1"/>
    <col min="17" max="17" width="38" style="6" bestFit="1" customWidth="1"/>
    <col min="18" max="18" width="30" style="6" bestFit="1" customWidth="1"/>
    <col min="19" max="19" width="40.6640625" style="6" customWidth="1"/>
    <col min="20" max="20" width="10.6640625" style="19" customWidth="1"/>
    <col min="21" max="21" width="32.5546875" style="6" bestFit="1" customWidth="1"/>
    <col min="22" max="22" width="13.109375" style="6" bestFit="1" customWidth="1"/>
    <col min="23" max="23" width="25.109375" style="6" customWidth="1"/>
    <col min="24" max="24" width="22.5546875" style="6" bestFit="1" customWidth="1"/>
    <col min="25" max="25" width="13.109375" style="6" customWidth="1"/>
    <col min="26" max="26" width="14" style="6" bestFit="1" customWidth="1"/>
    <col min="27" max="27" width="21.88671875" style="6" bestFit="1" customWidth="1"/>
    <col min="28" max="28" width="83" style="6" customWidth="1"/>
    <col min="29" max="29" width="21.88671875" style="6" customWidth="1"/>
    <col min="30" max="30" width="43.33203125" style="6" bestFit="1" customWidth="1"/>
    <col min="31" max="16384" width="9.109375" style="6"/>
  </cols>
  <sheetData>
    <row r="1" spans="1:30" ht="21" customHeight="1" x14ac:dyDescent="0.25">
      <c r="A1" s="9" t="s">
        <v>1487</v>
      </c>
      <c r="B1" s="16" t="s">
        <v>5</v>
      </c>
      <c r="C1" s="7" t="s">
        <v>51</v>
      </c>
      <c r="D1" s="7" t="s">
        <v>51</v>
      </c>
      <c r="E1" s="7" t="s">
        <v>52</v>
      </c>
      <c r="F1" s="16" t="s">
        <v>904</v>
      </c>
      <c r="G1" s="16" t="s">
        <v>3</v>
      </c>
      <c r="H1" s="16" t="s">
        <v>1232</v>
      </c>
      <c r="I1" s="8" t="s">
        <v>11</v>
      </c>
      <c r="J1" s="8" t="s">
        <v>1206</v>
      </c>
      <c r="K1" s="8" t="s">
        <v>1207</v>
      </c>
      <c r="L1" s="8" t="s">
        <v>1503</v>
      </c>
      <c r="M1" s="8" t="s">
        <v>1504</v>
      </c>
      <c r="N1" s="16" t="s">
        <v>380</v>
      </c>
      <c r="O1" s="16" t="s">
        <v>4</v>
      </c>
      <c r="P1" s="36" t="s">
        <v>1338</v>
      </c>
      <c r="Q1" s="36" t="s">
        <v>1336</v>
      </c>
      <c r="R1" s="36" t="s">
        <v>1290</v>
      </c>
      <c r="S1" s="16" t="s">
        <v>875</v>
      </c>
      <c r="T1" s="17" t="s">
        <v>7</v>
      </c>
      <c r="U1" s="16" t="s">
        <v>8</v>
      </c>
      <c r="V1" s="16" t="s">
        <v>899</v>
      </c>
      <c r="W1" s="16" t="s">
        <v>1220</v>
      </c>
      <c r="X1" s="16" t="s">
        <v>1220</v>
      </c>
      <c r="Y1" s="16"/>
      <c r="Z1" s="16" t="s">
        <v>1058</v>
      </c>
      <c r="AA1" s="16" t="s">
        <v>1059</v>
      </c>
      <c r="AB1" s="16" t="s">
        <v>1259</v>
      </c>
      <c r="AC1" s="36" t="s">
        <v>1312</v>
      </c>
      <c r="AD1" s="36" t="s">
        <v>1315</v>
      </c>
    </row>
    <row r="2" spans="1:30" ht="10.5" customHeight="1" x14ac:dyDescent="0.25">
      <c r="A2" s="9">
        <v>1</v>
      </c>
      <c r="B2" s="10" t="s">
        <v>915</v>
      </c>
      <c r="C2" s="10" t="s">
        <v>1218</v>
      </c>
      <c r="D2" s="10" t="s">
        <v>0</v>
      </c>
      <c r="E2" s="10" t="b">
        <v>1</v>
      </c>
      <c r="F2" s="10" t="s">
        <v>903</v>
      </c>
      <c r="G2" s="10" t="s">
        <v>53</v>
      </c>
      <c r="H2" s="13">
        <v>1</v>
      </c>
      <c r="I2" s="13" t="s">
        <v>1479</v>
      </c>
      <c r="J2" s="28" t="b">
        <v>1</v>
      </c>
      <c r="K2" s="29" t="b">
        <v>0</v>
      </c>
      <c r="L2" s="462" t="b">
        <v>1</v>
      </c>
      <c r="M2" s="29" t="b">
        <v>0</v>
      </c>
      <c r="N2" s="29" t="s">
        <v>1486</v>
      </c>
      <c r="O2" s="29" t="s">
        <v>381</v>
      </c>
      <c r="P2" s="29" t="s">
        <v>1486</v>
      </c>
      <c r="Q2" s="29" t="s">
        <v>1486</v>
      </c>
      <c r="R2" s="29" t="s">
        <v>1486</v>
      </c>
      <c r="S2" s="29" t="s">
        <v>1501</v>
      </c>
      <c r="T2" s="329" t="s">
        <v>1239</v>
      </c>
      <c r="U2" s="29" t="s">
        <v>1502</v>
      </c>
      <c r="V2" s="29" t="s">
        <v>381</v>
      </c>
      <c r="W2" s="29" t="s">
        <v>1486</v>
      </c>
      <c r="X2" s="29" t="s">
        <v>1239</v>
      </c>
      <c r="Y2" s="10"/>
      <c r="Z2" s="10" t="s">
        <v>920</v>
      </c>
      <c r="AA2" s="10" t="s">
        <v>1060</v>
      </c>
      <c r="AB2" s="35" t="s">
        <v>1365</v>
      </c>
      <c r="AC2" s="29" t="s">
        <v>1486</v>
      </c>
      <c r="AD2" s="29" t="s">
        <v>1486</v>
      </c>
    </row>
    <row r="3" spans="1:30" ht="10.5" customHeight="1" x14ac:dyDescent="0.25">
      <c r="A3" s="9">
        <v>2</v>
      </c>
      <c r="B3" s="10" t="s">
        <v>916</v>
      </c>
      <c r="C3" s="10" t="s">
        <v>1219</v>
      </c>
      <c r="D3" s="10" t="s">
        <v>12</v>
      </c>
      <c r="E3" s="10" t="b">
        <v>0</v>
      </c>
      <c r="F3" s="10" t="s">
        <v>1461</v>
      </c>
      <c r="G3" s="10" t="s">
        <v>54</v>
      </c>
      <c r="H3" s="462">
        <v>2</v>
      </c>
      <c r="I3" s="462" t="s">
        <v>1481</v>
      </c>
      <c r="J3" s="28" t="b">
        <v>1</v>
      </c>
      <c r="K3" s="29" t="b">
        <v>0</v>
      </c>
      <c r="L3" s="462" t="b">
        <v>1</v>
      </c>
      <c r="M3" s="29" t="b">
        <v>0</v>
      </c>
      <c r="N3" s="15" t="s">
        <v>85</v>
      </c>
      <c r="O3" s="15" t="s">
        <v>23</v>
      </c>
      <c r="P3" s="10" t="s">
        <v>55</v>
      </c>
      <c r="Q3" s="15" t="s">
        <v>59</v>
      </c>
      <c r="R3" s="10" t="s">
        <v>1302</v>
      </c>
      <c r="S3" s="15" t="s">
        <v>583</v>
      </c>
      <c r="T3" s="34" t="s">
        <v>582</v>
      </c>
      <c r="U3" s="549" t="s">
        <v>881</v>
      </c>
      <c r="V3" s="549" t="s">
        <v>880</v>
      </c>
      <c r="W3" s="10" t="s">
        <v>910</v>
      </c>
      <c r="X3" s="10" t="s">
        <v>582</v>
      </c>
      <c r="Y3" s="10"/>
      <c r="Z3" s="10" t="s">
        <v>921</v>
      </c>
      <c r="AA3" s="10" t="s">
        <v>1061</v>
      </c>
      <c r="AB3" s="35" t="s">
        <v>1366</v>
      </c>
      <c r="AC3" s="10" t="s">
        <v>1313</v>
      </c>
      <c r="AD3" s="15" t="s">
        <v>1204</v>
      </c>
    </row>
    <row r="4" spans="1:30" ht="10.5" customHeight="1" x14ac:dyDescent="0.25">
      <c r="A4" s="9">
        <v>3</v>
      </c>
      <c r="B4" s="29" t="s">
        <v>1486</v>
      </c>
      <c r="C4" s="29" t="s">
        <v>1486</v>
      </c>
      <c r="D4" s="29" t="s">
        <v>900</v>
      </c>
      <c r="E4" s="29" t="s">
        <v>901</v>
      </c>
      <c r="F4" s="29" t="s">
        <v>1486</v>
      </c>
      <c r="G4" s="29" t="s">
        <v>381</v>
      </c>
      <c r="H4" s="13">
        <v>3</v>
      </c>
      <c r="I4" s="13" t="s">
        <v>1482</v>
      </c>
      <c r="J4" s="28" t="b">
        <v>1</v>
      </c>
      <c r="K4" s="29" t="b">
        <v>0</v>
      </c>
      <c r="L4" s="462" t="b">
        <v>1</v>
      </c>
      <c r="M4" s="29" t="b">
        <v>0</v>
      </c>
      <c r="N4" s="15" t="s">
        <v>86</v>
      </c>
      <c r="O4" s="15" t="s">
        <v>24</v>
      </c>
      <c r="P4" s="10" t="s">
        <v>56</v>
      </c>
      <c r="Q4" s="15" t="s">
        <v>1333</v>
      </c>
      <c r="R4" s="10" t="s">
        <v>1296</v>
      </c>
      <c r="S4" s="10" t="s">
        <v>533</v>
      </c>
      <c r="T4" s="18" t="s">
        <v>532</v>
      </c>
      <c r="U4" s="549" t="s">
        <v>883</v>
      </c>
      <c r="V4" s="549" t="s">
        <v>882</v>
      </c>
      <c r="W4" s="10" t="s">
        <v>1228</v>
      </c>
      <c r="X4" s="10" t="s">
        <v>532</v>
      </c>
      <c r="Y4" s="10"/>
      <c r="Z4" s="10" t="s">
        <v>922</v>
      </c>
      <c r="AA4" s="10" t="s">
        <v>1062</v>
      </c>
      <c r="AB4" s="10"/>
      <c r="AC4" s="35" t="s">
        <v>1314</v>
      </c>
      <c r="AD4" s="15" t="s">
        <v>1317</v>
      </c>
    </row>
    <row r="5" spans="1:30" ht="10.5" customHeight="1" x14ac:dyDescent="0.25">
      <c r="A5" s="9">
        <v>4</v>
      </c>
      <c r="B5" s="13"/>
      <c r="C5" s="13"/>
      <c r="D5" s="13"/>
      <c r="E5" s="13"/>
      <c r="F5" s="13"/>
      <c r="G5" s="13"/>
      <c r="H5" s="13">
        <v>4</v>
      </c>
      <c r="I5" s="13" t="s">
        <v>1489</v>
      </c>
      <c r="J5" s="28" t="b">
        <v>1</v>
      </c>
      <c r="K5" s="29" t="b">
        <v>0</v>
      </c>
      <c r="L5" s="462" t="b">
        <v>1</v>
      </c>
      <c r="M5" s="29" t="b">
        <v>0</v>
      </c>
      <c r="N5" s="15" t="s">
        <v>87</v>
      </c>
      <c r="O5" s="15" t="s">
        <v>46</v>
      </c>
      <c r="P5" s="10" t="s">
        <v>57</v>
      </c>
      <c r="Q5" s="15" t="s">
        <v>1334</v>
      </c>
      <c r="R5" s="10" t="s">
        <v>1298</v>
      </c>
      <c r="S5" s="10" t="s">
        <v>842</v>
      </c>
      <c r="T5" s="18" t="s">
        <v>841</v>
      </c>
      <c r="U5" s="549" t="s">
        <v>896</v>
      </c>
      <c r="V5" s="549" t="s">
        <v>895</v>
      </c>
      <c r="W5" s="10" t="s">
        <v>1229</v>
      </c>
      <c r="X5" s="10" t="s">
        <v>841</v>
      </c>
      <c r="Y5" s="10"/>
      <c r="Z5" s="10" t="s">
        <v>923</v>
      </c>
      <c r="AA5" s="10" t="s">
        <v>1063</v>
      </c>
      <c r="AB5" s="10"/>
      <c r="AC5" s="29" t="s">
        <v>1268</v>
      </c>
      <c r="AD5" s="15" t="s">
        <v>1318</v>
      </c>
    </row>
    <row r="6" spans="1:30" ht="10.5" customHeight="1" x14ac:dyDescent="0.25">
      <c r="A6" s="9">
        <v>5</v>
      </c>
      <c r="B6" s="13"/>
      <c r="C6" s="13"/>
      <c r="D6" s="13"/>
      <c r="E6" s="13"/>
      <c r="F6" s="13"/>
      <c r="G6" s="13"/>
      <c r="H6" s="462">
        <v>5</v>
      </c>
      <c r="I6" s="462" t="s">
        <v>83</v>
      </c>
      <c r="J6" s="28" t="b">
        <v>1</v>
      </c>
      <c r="K6" s="29" t="b">
        <v>0</v>
      </c>
      <c r="L6" s="462" t="b">
        <v>1</v>
      </c>
      <c r="M6" s="29" t="b">
        <v>0</v>
      </c>
      <c r="N6" s="15" t="s">
        <v>222</v>
      </c>
      <c r="O6" s="15" t="s">
        <v>30</v>
      </c>
      <c r="P6" s="10" t="s">
        <v>58</v>
      </c>
      <c r="Q6" s="15" t="s">
        <v>1335</v>
      </c>
      <c r="R6" s="10" t="s">
        <v>1303</v>
      </c>
      <c r="S6" s="332" t="s">
        <v>407</v>
      </c>
      <c r="T6" s="333" t="s">
        <v>406</v>
      </c>
      <c r="U6" s="549" t="s">
        <v>894</v>
      </c>
      <c r="V6" s="549" t="s">
        <v>893</v>
      </c>
      <c r="W6" s="10" t="s">
        <v>1221</v>
      </c>
      <c r="X6" s="10" t="s">
        <v>456</v>
      </c>
      <c r="Y6" s="10"/>
      <c r="Z6" s="10" t="s">
        <v>924</v>
      </c>
      <c r="AA6" s="10" t="s">
        <v>1064</v>
      </c>
      <c r="AB6" s="10"/>
      <c r="AC6" s="10"/>
      <c r="AD6" s="39" t="s">
        <v>1319</v>
      </c>
    </row>
    <row r="7" spans="1:30" ht="10.5" customHeight="1" x14ac:dyDescent="0.25">
      <c r="A7" s="9">
        <v>6</v>
      </c>
      <c r="B7" s="13"/>
      <c r="C7" s="13"/>
      <c r="D7" s="13"/>
      <c r="E7" s="13"/>
      <c r="F7" s="13"/>
      <c r="G7" s="13"/>
      <c r="H7" s="462">
        <v>6</v>
      </c>
      <c r="I7" s="462" t="s">
        <v>1208</v>
      </c>
      <c r="J7" s="28" t="b">
        <v>1</v>
      </c>
      <c r="K7" s="29" t="b">
        <v>0</v>
      </c>
      <c r="L7" s="462" t="b">
        <v>1</v>
      </c>
      <c r="M7" s="29" t="b">
        <v>0</v>
      </c>
      <c r="N7" s="15" t="s">
        <v>166</v>
      </c>
      <c r="O7" s="15" t="s">
        <v>21</v>
      </c>
      <c r="P7" s="13"/>
      <c r="Q7" s="15" t="s">
        <v>68</v>
      </c>
      <c r="R7" s="10" t="s">
        <v>1293</v>
      </c>
      <c r="S7" s="332" t="s">
        <v>423</v>
      </c>
      <c r="T7" s="333" t="s">
        <v>422</v>
      </c>
      <c r="U7" s="549" t="s">
        <v>888</v>
      </c>
      <c r="V7" s="549" t="s">
        <v>887</v>
      </c>
      <c r="W7" s="10" t="s">
        <v>1223</v>
      </c>
      <c r="X7" s="10" t="s">
        <v>528</v>
      </c>
      <c r="Y7" s="10"/>
      <c r="Z7" s="10" t="s">
        <v>925</v>
      </c>
      <c r="AA7" s="10" t="s">
        <v>1065</v>
      </c>
      <c r="AB7" s="10"/>
      <c r="AC7" s="10"/>
      <c r="AD7" s="15" t="s">
        <v>1320</v>
      </c>
    </row>
    <row r="8" spans="1:30" ht="10.5" customHeight="1" x14ac:dyDescent="0.25">
      <c r="A8" s="9">
        <v>7</v>
      </c>
      <c r="B8" s="13"/>
      <c r="C8" s="13"/>
      <c r="D8" s="13"/>
      <c r="E8" s="13"/>
      <c r="F8" s="13"/>
      <c r="G8" s="13"/>
      <c r="H8" s="13">
        <v>7</v>
      </c>
      <c r="I8" s="13" t="s">
        <v>1483</v>
      </c>
      <c r="J8" s="28" t="b">
        <v>1</v>
      </c>
      <c r="K8" s="29" t="b">
        <v>0</v>
      </c>
      <c r="L8" s="462" t="b">
        <v>1</v>
      </c>
      <c r="M8" s="29" t="b">
        <v>0</v>
      </c>
      <c r="N8" s="15" t="s">
        <v>287</v>
      </c>
      <c r="O8" s="15" t="s">
        <v>36</v>
      </c>
      <c r="P8" s="13"/>
      <c r="Q8" s="12" t="s">
        <v>69</v>
      </c>
      <c r="R8" s="10" t="s">
        <v>1294</v>
      </c>
      <c r="S8" s="332" t="s">
        <v>489</v>
      </c>
      <c r="T8" s="333" t="s">
        <v>488</v>
      </c>
      <c r="U8" s="549" t="s">
        <v>897</v>
      </c>
      <c r="V8" s="549" t="s">
        <v>725</v>
      </c>
      <c r="W8" s="10" t="s">
        <v>1224</v>
      </c>
      <c r="X8" s="10" t="s">
        <v>492</v>
      </c>
      <c r="Y8" s="10"/>
      <c r="Z8" s="10" t="s">
        <v>926</v>
      </c>
      <c r="AA8" s="10" t="s">
        <v>1066</v>
      </c>
      <c r="AB8" s="10"/>
      <c r="AC8" s="10"/>
      <c r="AD8" s="15" t="s">
        <v>1321</v>
      </c>
    </row>
    <row r="9" spans="1:30" ht="10.5" customHeight="1" x14ac:dyDescent="0.25">
      <c r="A9" s="9">
        <v>8</v>
      </c>
      <c r="B9" s="13"/>
      <c r="C9" s="13"/>
      <c r="D9" s="13"/>
      <c r="E9" s="13"/>
      <c r="F9" s="13"/>
      <c r="G9" s="13"/>
      <c r="H9" s="13">
        <v>8</v>
      </c>
      <c r="I9" s="13" t="s">
        <v>1484</v>
      </c>
      <c r="J9" s="28" t="b">
        <v>1</v>
      </c>
      <c r="K9" s="29" t="b">
        <v>0</v>
      </c>
      <c r="L9" s="462" t="b">
        <v>1</v>
      </c>
      <c r="M9" s="29" t="b">
        <v>0</v>
      </c>
      <c r="N9" s="15" t="s">
        <v>338</v>
      </c>
      <c r="O9" s="15" t="s">
        <v>42</v>
      </c>
      <c r="P9" s="13"/>
      <c r="Q9" s="10" t="s">
        <v>71</v>
      </c>
      <c r="R9" s="14" t="s">
        <v>1292</v>
      </c>
      <c r="S9" s="332" t="s">
        <v>493</v>
      </c>
      <c r="T9" s="333" t="s">
        <v>492</v>
      </c>
      <c r="U9" s="549" t="s">
        <v>886</v>
      </c>
      <c r="V9" s="549" t="s">
        <v>885</v>
      </c>
      <c r="W9" s="10" t="s">
        <v>1227</v>
      </c>
      <c r="X9" s="10" t="s">
        <v>475</v>
      </c>
      <c r="Y9" s="10"/>
      <c r="Z9" s="10" t="s">
        <v>927</v>
      </c>
      <c r="AA9" s="10" t="s">
        <v>1067</v>
      </c>
      <c r="AB9" s="10"/>
      <c r="AC9" s="10"/>
      <c r="AD9" s="15" t="s">
        <v>1322</v>
      </c>
    </row>
    <row r="10" spans="1:30" ht="10.5" customHeight="1" x14ac:dyDescent="0.25">
      <c r="A10" s="9">
        <v>9</v>
      </c>
      <c r="B10" s="13"/>
      <c r="C10" s="13"/>
      <c r="D10" s="13"/>
      <c r="E10" s="13"/>
      <c r="F10" s="13"/>
      <c r="G10" s="13"/>
      <c r="H10" s="13">
        <v>9</v>
      </c>
      <c r="I10" s="13" t="s">
        <v>1485</v>
      </c>
      <c r="J10" s="28" t="b">
        <v>1</v>
      </c>
      <c r="K10" s="29" t="b">
        <v>0</v>
      </c>
      <c r="L10" s="462" t="b">
        <v>1</v>
      </c>
      <c r="M10" s="29" t="b">
        <v>0</v>
      </c>
      <c r="N10" s="15" t="s">
        <v>301</v>
      </c>
      <c r="O10" s="15" t="s">
        <v>39</v>
      </c>
      <c r="P10" s="13"/>
      <c r="Q10" s="10" t="s">
        <v>60</v>
      </c>
      <c r="R10" s="14" t="s">
        <v>1301</v>
      </c>
      <c r="S10" s="332" t="s">
        <v>507</v>
      </c>
      <c r="T10" s="333" t="s">
        <v>506</v>
      </c>
      <c r="U10" s="549" t="s">
        <v>879</v>
      </c>
      <c r="V10" s="549" t="s">
        <v>878</v>
      </c>
      <c r="W10" s="10" t="s">
        <v>1226</v>
      </c>
      <c r="X10" s="10" t="s">
        <v>606</v>
      </c>
      <c r="Y10" s="10"/>
      <c r="Z10" s="10" t="s">
        <v>928</v>
      </c>
      <c r="AA10" s="10" t="s">
        <v>1068</v>
      </c>
      <c r="AB10" s="10"/>
      <c r="AC10" s="10"/>
      <c r="AD10" s="15" t="s">
        <v>1323</v>
      </c>
    </row>
    <row r="11" spans="1:30" ht="10.5" customHeight="1" x14ac:dyDescent="0.25">
      <c r="A11" s="9">
        <v>10</v>
      </c>
      <c r="B11" s="13"/>
      <c r="C11" s="13"/>
      <c r="D11" s="13"/>
      <c r="E11" s="13"/>
      <c r="F11" s="13"/>
      <c r="G11" s="13"/>
      <c r="H11" s="13">
        <v>10</v>
      </c>
      <c r="I11" s="13" t="s">
        <v>1478</v>
      </c>
      <c r="J11" s="28" t="b">
        <v>1</v>
      </c>
      <c r="K11" s="29" t="b">
        <v>0</v>
      </c>
      <c r="L11" s="462" t="b">
        <v>1</v>
      </c>
      <c r="M11" s="29" t="b">
        <v>0</v>
      </c>
      <c r="N11" s="15" t="s">
        <v>305</v>
      </c>
      <c r="O11" s="15" t="s">
        <v>41</v>
      </c>
      <c r="P11" s="13"/>
      <c r="Q11" s="10" t="s">
        <v>61</v>
      </c>
      <c r="R11" s="10" t="s">
        <v>1295</v>
      </c>
      <c r="S11" s="332" t="s">
        <v>515</v>
      </c>
      <c r="T11" s="333" t="s">
        <v>514</v>
      </c>
      <c r="U11" s="549" t="s">
        <v>877</v>
      </c>
      <c r="V11" s="549" t="s">
        <v>876</v>
      </c>
      <c r="W11" s="10" t="s">
        <v>1222</v>
      </c>
      <c r="X11" s="10" t="s">
        <v>475</v>
      </c>
      <c r="Y11" s="10"/>
      <c r="Z11" s="10" t="s">
        <v>929</v>
      </c>
      <c r="AA11" s="10" t="s">
        <v>1069</v>
      </c>
      <c r="AB11" s="10"/>
      <c r="AC11" s="10"/>
      <c r="AD11" s="15" t="s">
        <v>1324</v>
      </c>
    </row>
    <row r="12" spans="1:30" ht="10.5" customHeight="1" x14ac:dyDescent="0.25">
      <c r="A12" s="9">
        <v>11</v>
      </c>
      <c r="B12" s="13"/>
      <c r="C12" s="13"/>
      <c r="D12" s="13"/>
      <c r="E12" s="13"/>
      <c r="F12" s="13"/>
      <c r="G12" s="13"/>
      <c r="H12" s="13">
        <v>11</v>
      </c>
      <c r="I12" s="13" t="s">
        <v>1490</v>
      </c>
      <c r="J12" s="28" t="b">
        <v>1</v>
      </c>
      <c r="K12" s="29" t="b">
        <v>0</v>
      </c>
      <c r="L12" s="462" t="b">
        <v>1</v>
      </c>
      <c r="M12" s="29" t="b">
        <v>0</v>
      </c>
      <c r="N12" s="15" t="s">
        <v>89</v>
      </c>
      <c r="O12" s="15" t="s">
        <v>14</v>
      </c>
      <c r="P12" s="13"/>
      <c r="Q12" s="10" t="s">
        <v>62</v>
      </c>
      <c r="R12" s="10" t="s">
        <v>1297</v>
      </c>
      <c r="S12" s="332" t="s">
        <v>519</v>
      </c>
      <c r="T12" s="333" t="s">
        <v>518</v>
      </c>
      <c r="U12" s="13" t="s">
        <v>884</v>
      </c>
      <c r="V12" s="13" t="s">
        <v>53</v>
      </c>
      <c r="W12" s="10" t="s">
        <v>1225</v>
      </c>
      <c r="X12" s="10" t="s">
        <v>568</v>
      </c>
      <c r="Y12" s="10"/>
      <c r="Z12" s="10" t="s">
        <v>930</v>
      </c>
      <c r="AA12" s="10" t="s">
        <v>1070</v>
      </c>
      <c r="AB12" s="10"/>
      <c r="AC12" s="10"/>
      <c r="AD12" s="15" t="s">
        <v>1325</v>
      </c>
    </row>
    <row r="13" spans="1:30" ht="10.5" customHeight="1" x14ac:dyDescent="0.25">
      <c r="A13" s="9">
        <v>12</v>
      </c>
      <c r="B13" s="13"/>
      <c r="C13" s="13"/>
      <c r="D13" s="13"/>
      <c r="E13" s="13"/>
      <c r="F13" s="13"/>
      <c r="G13" s="13"/>
      <c r="H13" s="13">
        <v>12</v>
      </c>
      <c r="I13" s="13" t="s">
        <v>1491</v>
      </c>
      <c r="J13" s="28" t="b">
        <v>1</v>
      </c>
      <c r="K13" s="29" t="b">
        <v>0</v>
      </c>
      <c r="L13" s="462" t="b">
        <v>1</v>
      </c>
      <c r="M13" s="29" t="b">
        <v>0</v>
      </c>
      <c r="N13" s="15" t="s">
        <v>282</v>
      </c>
      <c r="O13" s="15" t="s">
        <v>37</v>
      </c>
      <c r="P13" s="13"/>
      <c r="Q13" s="10" t="s">
        <v>63</v>
      </c>
      <c r="R13" s="10" t="s">
        <v>1291</v>
      </c>
      <c r="S13" s="332" t="s">
        <v>529</v>
      </c>
      <c r="T13" s="333" t="s">
        <v>528</v>
      </c>
      <c r="U13" s="13" t="s">
        <v>898</v>
      </c>
      <c r="V13" s="13" t="s">
        <v>54</v>
      </c>
      <c r="W13" s="29" t="s">
        <v>1469</v>
      </c>
      <c r="X13" s="29" t="s">
        <v>1239</v>
      </c>
      <c r="Y13" s="10"/>
      <c r="Z13" s="10" t="s">
        <v>931</v>
      </c>
      <c r="AA13" s="10" t="s">
        <v>1071</v>
      </c>
      <c r="AB13" s="10"/>
      <c r="AC13" s="10"/>
      <c r="AD13" s="15" t="s">
        <v>1326</v>
      </c>
    </row>
    <row r="14" spans="1:30" ht="10.5" customHeight="1" x14ac:dyDescent="0.25">
      <c r="A14" s="9">
        <v>13</v>
      </c>
      <c r="B14" s="13"/>
      <c r="C14" s="13"/>
      <c r="D14" s="13"/>
      <c r="E14" s="13"/>
      <c r="F14" s="13"/>
      <c r="G14" s="13"/>
      <c r="H14" s="13">
        <v>13</v>
      </c>
      <c r="I14" s="13" t="s">
        <v>1492</v>
      </c>
      <c r="J14" s="28" t="b">
        <v>1</v>
      </c>
      <c r="K14" s="29" t="b">
        <v>0</v>
      </c>
      <c r="L14" s="462" t="b">
        <v>1</v>
      </c>
      <c r="M14" s="29" t="b">
        <v>0</v>
      </c>
      <c r="N14" s="10" t="s">
        <v>91</v>
      </c>
      <c r="O14" s="10" t="s">
        <v>90</v>
      </c>
      <c r="P14" s="13"/>
      <c r="Q14" s="10" t="s">
        <v>64</v>
      </c>
      <c r="R14" s="10" t="s">
        <v>1304</v>
      </c>
      <c r="S14" s="332" t="s">
        <v>557</v>
      </c>
      <c r="T14" s="333" t="s">
        <v>556</v>
      </c>
      <c r="U14" s="13" t="s">
        <v>890</v>
      </c>
      <c r="V14" s="13" t="s">
        <v>889</v>
      </c>
      <c r="W14" s="13"/>
      <c r="X14" s="13"/>
      <c r="Y14" s="10"/>
      <c r="Z14" s="10" t="s">
        <v>932</v>
      </c>
      <c r="AA14" s="10" t="s">
        <v>1072</v>
      </c>
      <c r="AB14" s="10"/>
      <c r="AC14" s="10"/>
      <c r="AD14" s="15" t="s">
        <v>1327</v>
      </c>
    </row>
    <row r="15" spans="1:30" ht="10.5" customHeight="1" x14ac:dyDescent="0.25">
      <c r="A15" s="9">
        <v>14</v>
      </c>
      <c r="B15" s="13"/>
      <c r="C15" s="13"/>
      <c r="D15" s="13"/>
      <c r="E15" s="13"/>
      <c r="F15" s="13"/>
      <c r="G15" s="13"/>
      <c r="H15" s="13">
        <v>14</v>
      </c>
      <c r="I15" s="13" t="s">
        <v>82</v>
      </c>
      <c r="J15" s="28" t="b">
        <v>1</v>
      </c>
      <c r="K15" s="29" t="b">
        <v>0</v>
      </c>
      <c r="L15" s="462" t="b">
        <v>1</v>
      </c>
      <c r="M15" s="29" t="b">
        <v>0</v>
      </c>
      <c r="N15" s="10" t="s">
        <v>93</v>
      </c>
      <c r="O15" s="10" t="s">
        <v>92</v>
      </c>
      <c r="P15" s="13"/>
      <c r="Q15" s="11" t="s">
        <v>70</v>
      </c>
      <c r="R15" s="10" t="s">
        <v>1305</v>
      </c>
      <c r="S15" s="332" t="s">
        <v>599</v>
      </c>
      <c r="T15" s="333" t="s">
        <v>598</v>
      </c>
      <c r="U15" s="13" t="s">
        <v>892</v>
      </c>
      <c r="V15" s="13" t="s">
        <v>891</v>
      </c>
      <c r="W15" s="13"/>
      <c r="X15" s="13"/>
      <c r="Y15" s="10"/>
      <c r="Z15" s="10" t="s">
        <v>933</v>
      </c>
      <c r="AA15" s="10" t="s">
        <v>1073</v>
      </c>
      <c r="AB15" s="10"/>
      <c r="AC15" s="10"/>
      <c r="AD15" s="15" t="s">
        <v>1328</v>
      </c>
    </row>
    <row r="16" spans="1:30" ht="10.5" customHeight="1" x14ac:dyDescent="0.25">
      <c r="A16" s="9">
        <v>15</v>
      </c>
      <c r="B16" s="13"/>
      <c r="C16" s="13"/>
      <c r="D16" s="13"/>
      <c r="E16" s="13"/>
      <c r="F16" s="13"/>
      <c r="G16" s="13"/>
      <c r="H16" s="13">
        <v>15</v>
      </c>
      <c r="I16" s="13" t="s">
        <v>1480</v>
      </c>
      <c r="J16" s="28" t="b">
        <v>1</v>
      </c>
      <c r="K16" s="29" t="b">
        <v>0</v>
      </c>
      <c r="L16" s="462" t="b">
        <v>1</v>
      </c>
      <c r="M16" s="29" t="b">
        <v>0</v>
      </c>
      <c r="N16" s="10" t="s">
        <v>95</v>
      </c>
      <c r="O16" s="10" t="s">
        <v>94</v>
      </c>
      <c r="P16" s="13"/>
      <c r="Q16" s="10" t="s">
        <v>65</v>
      </c>
      <c r="R16" s="10" t="s">
        <v>1299</v>
      </c>
      <c r="S16" s="332" t="s">
        <v>645</v>
      </c>
      <c r="T16" s="333" t="s">
        <v>644</v>
      </c>
      <c r="U16" s="13"/>
      <c r="V16" s="13"/>
      <c r="W16" s="13"/>
      <c r="X16" s="13"/>
      <c r="Y16" s="10"/>
      <c r="Z16" s="10" t="s">
        <v>934</v>
      </c>
      <c r="AA16" s="10" t="s">
        <v>1074</v>
      </c>
      <c r="AB16" s="10"/>
      <c r="AC16" s="10"/>
      <c r="AD16" s="15" t="s">
        <v>1329</v>
      </c>
    </row>
    <row r="17" spans="1:30" ht="10.5" customHeight="1" x14ac:dyDescent="0.25">
      <c r="A17" s="9">
        <v>16</v>
      </c>
      <c r="B17" s="13"/>
      <c r="C17" s="13"/>
      <c r="D17" s="13"/>
      <c r="E17" s="13"/>
      <c r="F17" s="13"/>
      <c r="G17" s="13"/>
      <c r="H17" s="385">
        <v>16</v>
      </c>
      <c r="I17" s="385" t="s">
        <v>79</v>
      </c>
      <c r="J17" s="386" t="b">
        <v>1</v>
      </c>
      <c r="K17" s="387" t="b">
        <v>0</v>
      </c>
      <c r="L17" s="462" t="b">
        <v>1</v>
      </c>
      <c r="M17" s="387" t="b">
        <v>0</v>
      </c>
      <c r="N17" s="10" t="s">
        <v>97</v>
      </c>
      <c r="O17" s="10" t="s">
        <v>96</v>
      </c>
      <c r="P17" s="13"/>
      <c r="Q17" s="10" t="s">
        <v>66</v>
      </c>
      <c r="R17" s="10" t="s">
        <v>1300</v>
      </c>
      <c r="S17" s="332" t="s">
        <v>647</v>
      </c>
      <c r="T17" s="333" t="s">
        <v>646</v>
      </c>
      <c r="U17" s="13"/>
      <c r="V17" s="13"/>
      <c r="W17" s="13"/>
      <c r="X17" s="13"/>
      <c r="Y17" s="10"/>
      <c r="Z17" s="10" t="s">
        <v>935</v>
      </c>
      <c r="AA17" s="10" t="s">
        <v>1075</v>
      </c>
      <c r="AB17" s="10"/>
      <c r="AC17" s="10"/>
      <c r="AD17" s="15" t="s">
        <v>1330</v>
      </c>
    </row>
    <row r="18" spans="1:30" ht="10.5" customHeight="1" x14ac:dyDescent="0.25">
      <c r="A18" s="9">
        <v>17</v>
      </c>
      <c r="B18" s="13"/>
      <c r="C18" s="13"/>
      <c r="D18" s="13"/>
      <c r="E18" s="13"/>
      <c r="F18" s="13"/>
      <c r="G18" s="13"/>
      <c r="H18" s="382">
        <v>101</v>
      </c>
      <c r="I18" s="382" t="s">
        <v>84</v>
      </c>
      <c r="J18" s="383" t="b">
        <v>0</v>
      </c>
      <c r="K18" s="384" t="b">
        <v>1</v>
      </c>
      <c r="L18" s="383" t="b">
        <v>0</v>
      </c>
      <c r="M18" s="383" t="b">
        <v>0</v>
      </c>
      <c r="N18" s="10" t="s">
        <v>99</v>
      </c>
      <c r="O18" s="10" t="s">
        <v>98</v>
      </c>
      <c r="P18" s="13"/>
      <c r="Q18" s="10" t="s">
        <v>67</v>
      </c>
      <c r="R18" s="13"/>
      <c r="S18" s="332" t="s">
        <v>649</v>
      </c>
      <c r="T18" s="333" t="s">
        <v>648</v>
      </c>
      <c r="U18" s="13"/>
      <c r="V18" s="13"/>
      <c r="W18" s="13"/>
      <c r="X18" s="13"/>
      <c r="Y18" s="10"/>
      <c r="Z18" s="10" t="s">
        <v>936</v>
      </c>
      <c r="AA18" s="10" t="s">
        <v>1076</v>
      </c>
      <c r="AB18" s="10"/>
      <c r="AC18" s="10"/>
      <c r="AD18" s="15" t="s">
        <v>1331</v>
      </c>
    </row>
    <row r="19" spans="1:30" ht="10.5" customHeight="1" x14ac:dyDescent="0.25">
      <c r="A19" s="9">
        <v>18</v>
      </c>
      <c r="B19" s="13"/>
      <c r="C19" s="13"/>
      <c r="D19" s="13"/>
      <c r="E19" s="13"/>
      <c r="F19" s="13"/>
      <c r="G19" s="13"/>
      <c r="H19" s="13">
        <v>102</v>
      </c>
      <c r="I19" s="13" t="s">
        <v>72</v>
      </c>
      <c r="J19" s="29" t="b">
        <v>0</v>
      </c>
      <c r="K19" s="28" t="b">
        <v>1</v>
      </c>
      <c r="L19" s="29" t="b">
        <v>0</v>
      </c>
      <c r="M19" s="29" t="b">
        <v>0</v>
      </c>
      <c r="N19" s="10" t="s">
        <v>101</v>
      </c>
      <c r="O19" s="10" t="s">
        <v>100</v>
      </c>
      <c r="P19" s="13"/>
      <c r="Q19" s="13"/>
      <c r="R19" s="13"/>
      <c r="S19" s="332" t="s">
        <v>682</v>
      </c>
      <c r="T19" s="333" t="s">
        <v>681</v>
      </c>
      <c r="U19" s="13"/>
      <c r="V19" s="13"/>
      <c r="W19" s="13"/>
      <c r="X19" s="13"/>
      <c r="Y19" s="10"/>
      <c r="Z19" s="10" t="s">
        <v>937</v>
      </c>
      <c r="AA19" s="10" t="s">
        <v>1077</v>
      </c>
      <c r="AB19" s="10"/>
      <c r="AC19" s="10"/>
      <c r="AD19" s="12" t="s">
        <v>1268</v>
      </c>
    </row>
    <row r="20" spans="1:30" ht="10.5" customHeight="1" x14ac:dyDescent="0.25">
      <c r="A20" s="9">
        <v>19</v>
      </c>
      <c r="B20" s="13"/>
      <c r="C20" s="13"/>
      <c r="D20" s="13"/>
      <c r="E20" s="13"/>
      <c r="F20" s="13"/>
      <c r="G20" s="13"/>
      <c r="H20" s="13">
        <v>103</v>
      </c>
      <c r="I20" s="13" t="s">
        <v>73</v>
      </c>
      <c r="J20" s="29" t="b">
        <v>0</v>
      </c>
      <c r="K20" s="28" t="b">
        <v>1</v>
      </c>
      <c r="L20" s="29" t="b">
        <v>0</v>
      </c>
      <c r="M20" s="29" t="b">
        <v>0</v>
      </c>
      <c r="N20" s="10" t="s">
        <v>103</v>
      </c>
      <c r="O20" s="10" t="s">
        <v>102</v>
      </c>
      <c r="P20" s="13"/>
      <c r="Q20" s="13"/>
      <c r="R20" s="13"/>
      <c r="S20" s="332" t="s">
        <v>708</v>
      </c>
      <c r="T20" s="333" t="s">
        <v>707</v>
      </c>
      <c r="U20" s="13"/>
      <c r="V20" s="13"/>
      <c r="W20" s="13"/>
      <c r="X20" s="13"/>
      <c r="Y20" s="10"/>
      <c r="Z20" s="10" t="s">
        <v>938</v>
      </c>
      <c r="AA20" s="10" t="s">
        <v>1078</v>
      </c>
      <c r="AB20" s="10"/>
      <c r="AC20" s="10"/>
      <c r="AD20" s="10" t="s">
        <v>1267</v>
      </c>
    </row>
    <row r="21" spans="1:30" ht="10.5" customHeight="1" x14ac:dyDescent="0.25">
      <c r="A21" s="9">
        <v>20</v>
      </c>
      <c r="B21" s="13"/>
      <c r="C21" s="13"/>
      <c r="D21" s="13"/>
      <c r="E21" s="13"/>
      <c r="F21" s="13"/>
      <c r="G21" s="13"/>
      <c r="H21" s="13">
        <v>104</v>
      </c>
      <c r="I21" s="550" t="s">
        <v>1570</v>
      </c>
      <c r="J21" s="29" t="b">
        <v>0</v>
      </c>
      <c r="K21" s="28" t="b">
        <v>1</v>
      </c>
      <c r="L21" s="29" t="b">
        <v>0</v>
      </c>
      <c r="M21" s="29" t="b">
        <v>0</v>
      </c>
      <c r="N21" s="10" t="s">
        <v>105</v>
      </c>
      <c r="O21" s="10" t="s">
        <v>104</v>
      </c>
      <c r="P21" s="13"/>
      <c r="Q21" s="13"/>
      <c r="R21" s="13"/>
      <c r="S21" s="332" t="s">
        <v>744</v>
      </c>
      <c r="T21" s="333" t="s">
        <v>743</v>
      </c>
      <c r="U21" s="13"/>
      <c r="V21" s="13"/>
      <c r="W21" s="13"/>
      <c r="X21" s="13"/>
      <c r="Y21" s="10"/>
      <c r="Z21" s="10" t="s">
        <v>939</v>
      </c>
      <c r="AA21" s="10" t="s">
        <v>1079</v>
      </c>
      <c r="AB21" s="10"/>
      <c r="AC21" s="10"/>
      <c r="AD21" s="10" t="s">
        <v>1262</v>
      </c>
    </row>
    <row r="22" spans="1:30" ht="10.5" customHeight="1" x14ac:dyDescent="0.25">
      <c r="A22" s="9">
        <v>21</v>
      </c>
      <c r="B22" s="13"/>
      <c r="C22" s="13"/>
      <c r="D22" s="13"/>
      <c r="E22" s="13"/>
      <c r="F22" s="13"/>
      <c r="G22" s="13"/>
      <c r="H22" s="13">
        <v>105</v>
      </c>
      <c r="I22" s="13" t="s">
        <v>74</v>
      </c>
      <c r="J22" s="29" t="b">
        <v>0</v>
      </c>
      <c r="K22" s="28" t="b">
        <v>1</v>
      </c>
      <c r="L22" s="29" t="b">
        <v>0</v>
      </c>
      <c r="M22" s="29" t="b">
        <v>0</v>
      </c>
      <c r="N22" s="10" t="s">
        <v>107</v>
      </c>
      <c r="O22" s="10" t="s">
        <v>106</v>
      </c>
      <c r="P22" s="13"/>
      <c r="Q22" s="13"/>
      <c r="R22" s="13"/>
      <c r="S22" s="332" t="s">
        <v>776</v>
      </c>
      <c r="T22" s="333" t="s">
        <v>775</v>
      </c>
      <c r="U22" s="13"/>
      <c r="V22" s="13"/>
      <c r="W22" s="13"/>
      <c r="X22" s="13"/>
      <c r="Y22" s="10"/>
      <c r="Z22" s="10" t="s">
        <v>940</v>
      </c>
      <c r="AA22" s="10" t="s">
        <v>1080</v>
      </c>
      <c r="AB22" s="10"/>
      <c r="AC22" s="10"/>
      <c r="AD22" s="35" t="s">
        <v>1263</v>
      </c>
    </row>
    <row r="23" spans="1:30" ht="10.5" customHeight="1" x14ac:dyDescent="0.25">
      <c r="A23" s="9">
        <v>22</v>
      </c>
      <c r="B23" s="13"/>
      <c r="C23" s="13"/>
      <c r="D23" s="13"/>
      <c r="E23" s="13"/>
      <c r="F23" s="13"/>
      <c r="G23" s="13"/>
      <c r="H23" s="13">
        <v>106</v>
      </c>
      <c r="I23" s="13" t="s">
        <v>75</v>
      </c>
      <c r="J23" s="29" t="b">
        <v>0</v>
      </c>
      <c r="K23" s="28" t="b">
        <v>1</v>
      </c>
      <c r="L23" s="29" t="b">
        <v>0</v>
      </c>
      <c r="M23" s="29" t="b">
        <v>0</v>
      </c>
      <c r="N23" s="10" t="s">
        <v>109</v>
      </c>
      <c r="O23" s="10" t="s">
        <v>108</v>
      </c>
      <c r="P23" s="13"/>
      <c r="Q23" s="13"/>
      <c r="R23" s="13"/>
      <c r="S23" s="332" t="s">
        <v>780</v>
      </c>
      <c r="T23" s="333" t="s">
        <v>779</v>
      </c>
      <c r="U23" s="13"/>
      <c r="V23" s="13"/>
      <c r="W23" s="13"/>
      <c r="X23" s="13"/>
      <c r="Y23" s="10"/>
      <c r="Z23" s="10" t="s">
        <v>941</v>
      </c>
      <c r="AA23" s="10" t="s">
        <v>1081</v>
      </c>
      <c r="AB23" s="10"/>
      <c r="AC23" s="10"/>
      <c r="AD23" s="10" t="s">
        <v>1264</v>
      </c>
    </row>
    <row r="24" spans="1:30" ht="10.5" customHeight="1" x14ac:dyDescent="0.25">
      <c r="A24" s="9">
        <v>23</v>
      </c>
      <c r="B24" s="13"/>
      <c r="C24" s="13"/>
      <c r="D24" s="13"/>
      <c r="E24" s="13"/>
      <c r="F24" s="13"/>
      <c r="G24" s="13"/>
      <c r="H24" s="13">
        <v>107</v>
      </c>
      <c r="I24" s="13" t="s">
        <v>76</v>
      </c>
      <c r="J24" s="29" t="b">
        <v>0</v>
      </c>
      <c r="K24" s="28" t="b">
        <v>1</v>
      </c>
      <c r="L24" s="29" t="b">
        <v>0</v>
      </c>
      <c r="M24" s="29" t="b">
        <v>0</v>
      </c>
      <c r="N24" s="10" t="s">
        <v>111</v>
      </c>
      <c r="O24" s="10" t="s">
        <v>110</v>
      </c>
      <c r="P24" s="13"/>
      <c r="Q24" s="13"/>
      <c r="R24" s="358"/>
      <c r="S24" s="330" t="s">
        <v>427</v>
      </c>
      <c r="T24" s="331" t="s">
        <v>426</v>
      </c>
      <c r="U24" s="13"/>
      <c r="V24" s="13"/>
      <c r="W24" s="13"/>
      <c r="X24" s="13"/>
      <c r="Y24" s="10"/>
      <c r="Z24" s="10" t="s">
        <v>942</v>
      </c>
      <c r="AA24" s="10" t="s">
        <v>1082</v>
      </c>
      <c r="AB24" s="10"/>
      <c r="AC24" s="10"/>
      <c r="AD24" s="29" t="s">
        <v>1265</v>
      </c>
    </row>
    <row r="25" spans="1:30" ht="10.5" customHeight="1" x14ac:dyDescent="0.25">
      <c r="A25" s="9">
        <v>24</v>
      </c>
      <c r="B25" s="13"/>
      <c r="C25" s="13"/>
      <c r="D25" s="13"/>
      <c r="E25" s="13"/>
      <c r="F25" s="13"/>
      <c r="G25" s="13"/>
      <c r="H25" s="13">
        <v>108</v>
      </c>
      <c r="I25" s="13" t="s">
        <v>77</v>
      </c>
      <c r="J25" s="29" t="b">
        <v>0</v>
      </c>
      <c r="K25" s="28" t="b">
        <v>1</v>
      </c>
      <c r="L25" s="29" t="b">
        <v>0</v>
      </c>
      <c r="M25" s="29" t="b">
        <v>0</v>
      </c>
      <c r="N25" s="10" t="s">
        <v>113</v>
      </c>
      <c r="O25" s="10" t="s">
        <v>112</v>
      </c>
      <c r="P25" s="13"/>
      <c r="Q25" s="13"/>
      <c r="R25" s="358"/>
      <c r="S25" s="330" t="s">
        <v>491</v>
      </c>
      <c r="T25" s="331" t="s">
        <v>490</v>
      </c>
      <c r="U25" s="13"/>
      <c r="V25" s="13"/>
      <c r="W25" s="13"/>
      <c r="X25" s="13"/>
      <c r="Y25" s="10"/>
      <c r="Z25" s="10" t="s">
        <v>943</v>
      </c>
      <c r="AA25" s="10" t="s">
        <v>1083</v>
      </c>
      <c r="AB25" s="10"/>
      <c r="AC25" s="10"/>
      <c r="AD25" s="29" t="s">
        <v>1266</v>
      </c>
    </row>
    <row r="26" spans="1:30" ht="10.5" customHeight="1" x14ac:dyDescent="0.25">
      <c r="A26" s="9">
        <v>25</v>
      </c>
      <c r="B26" s="13"/>
      <c r="C26" s="13"/>
      <c r="D26" s="13"/>
      <c r="E26" s="13"/>
      <c r="F26" s="13"/>
      <c r="G26" s="13"/>
      <c r="H26" s="13">
        <v>109</v>
      </c>
      <c r="I26" s="13" t="s">
        <v>78</v>
      </c>
      <c r="J26" s="29" t="b">
        <v>0</v>
      </c>
      <c r="K26" s="28" t="b">
        <v>1</v>
      </c>
      <c r="L26" s="29" t="b">
        <v>0</v>
      </c>
      <c r="M26" s="29" t="b">
        <v>0</v>
      </c>
      <c r="N26" s="10" t="s">
        <v>115</v>
      </c>
      <c r="O26" s="10" t="s">
        <v>114</v>
      </c>
      <c r="P26" s="13"/>
      <c r="Q26" s="13"/>
      <c r="R26" s="358"/>
      <c r="S26" s="330" t="s">
        <v>497</v>
      </c>
      <c r="T26" s="331" t="s">
        <v>496</v>
      </c>
      <c r="U26" s="13"/>
      <c r="V26" s="13"/>
      <c r="W26" s="13"/>
      <c r="X26" s="13"/>
      <c r="Y26" s="10"/>
      <c r="Z26" s="10" t="s">
        <v>944</v>
      </c>
      <c r="AA26" s="10" t="s">
        <v>1084</v>
      </c>
      <c r="AB26" s="10"/>
      <c r="AC26" s="10"/>
      <c r="AD26" s="12" t="s">
        <v>1488</v>
      </c>
    </row>
    <row r="27" spans="1:30" ht="10.5" customHeight="1" x14ac:dyDescent="0.25">
      <c r="A27" s="9">
        <v>26</v>
      </c>
      <c r="B27" s="13"/>
      <c r="C27" s="13"/>
      <c r="D27" s="13"/>
      <c r="E27" s="13"/>
      <c r="F27" s="13"/>
      <c r="G27" s="13"/>
      <c r="H27" s="13">
        <v>110</v>
      </c>
      <c r="I27" s="550" t="s">
        <v>1569</v>
      </c>
      <c r="J27" s="29" t="b">
        <v>0</v>
      </c>
      <c r="K27" s="28" t="b">
        <v>1</v>
      </c>
      <c r="L27" s="29" t="b">
        <v>0</v>
      </c>
      <c r="M27" s="29" t="b">
        <v>0</v>
      </c>
      <c r="N27" s="10" t="s">
        <v>117</v>
      </c>
      <c r="O27" s="10" t="s">
        <v>116</v>
      </c>
      <c r="P27" s="13"/>
      <c r="Q27" s="13"/>
      <c r="R27" s="358"/>
      <c r="S27" s="330" t="s">
        <v>575</v>
      </c>
      <c r="T27" s="331" t="s">
        <v>574</v>
      </c>
      <c r="U27" s="13"/>
      <c r="V27" s="13"/>
      <c r="W27" s="13"/>
      <c r="X27" s="13"/>
      <c r="Y27" s="10"/>
      <c r="Z27" s="10" t="s">
        <v>945</v>
      </c>
      <c r="AA27" s="10" t="s">
        <v>1085</v>
      </c>
      <c r="AB27" s="10"/>
      <c r="AC27" s="10"/>
      <c r="AD27" s="10"/>
    </row>
    <row r="28" spans="1:30" ht="10.5" customHeight="1" x14ac:dyDescent="0.25">
      <c r="A28" s="9">
        <v>27</v>
      </c>
      <c r="B28" s="13"/>
      <c r="C28" s="13"/>
      <c r="D28" s="13"/>
      <c r="E28" s="13"/>
      <c r="F28" s="13"/>
      <c r="G28" s="13"/>
      <c r="H28" s="13">
        <v>111</v>
      </c>
      <c r="I28" s="13" t="s">
        <v>80</v>
      </c>
      <c r="J28" s="29" t="b">
        <v>0</v>
      </c>
      <c r="K28" s="28" t="b">
        <v>1</v>
      </c>
      <c r="L28" s="29" t="b">
        <v>0</v>
      </c>
      <c r="M28" s="29" t="b">
        <v>0</v>
      </c>
      <c r="N28" s="10" t="s">
        <v>119</v>
      </c>
      <c r="O28" s="10" t="s">
        <v>118</v>
      </c>
      <c r="P28" s="13"/>
      <c r="Q28" s="13"/>
      <c r="R28" s="358"/>
      <c r="S28" s="330" t="s">
        <v>579</v>
      </c>
      <c r="T28" s="331" t="s">
        <v>578</v>
      </c>
      <c r="U28" s="13"/>
      <c r="V28" s="13"/>
      <c r="W28" s="13"/>
      <c r="X28" s="13"/>
      <c r="Y28" s="10"/>
      <c r="Z28" s="10" t="s">
        <v>946</v>
      </c>
      <c r="AA28" s="10" t="s">
        <v>1086</v>
      </c>
      <c r="AB28" s="10"/>
      <c r="AC28" s="10"/>
      <c r="AD28" s="10"/>
    </row>
    <row r="29" spans="1:30" ht="10.5" customHeight="1" x14ac:dyDescent="0.25">
      <c r="A29" s="9">
        <v>28</v>
      </c>
      <c r="B29" s="13"/>
      <c r="C29" s="13"/>
      <c r="D29" s="13"/>
      <c r="E29" s="13"/>
      <c r="F29" s="13"/>
      <c r="G29" s="13"/>
      <c r="H29" s="13">
        <v>112</v>
      </c>
      <c r="I29" s="13" t="s">
        <v>81</v>
      </c>
      <c r="J29" s="29" t="b">
        <v>0</v>
      </c>
      <c r="K29" s="28" t="b">
        <v>1</v>
      </c>
      <c r="L29" s="29" t="b">
        <v>0</v>
      </c>
      <c r="M29" s="29" t="b">
        <v>0</v>
      </c>
      <c r="N29" s="10" t="s">
        <v>121</v>
      </c>
      <c r="O29" s="10" t="s">
        <v>120</v>
      </c>
      <c r="P29" s="13"/>
      <c r="Q29" s="13"/>
      <c r="R29" s="13"/>
      <c r="S29" s="330" t="s">
        <v>734</v>
      </c>
      <c r="T29" s="331" t="s">
        <v>733</v>
      </c>
      <c r="U29" s="13"/>
      <c r="V29" s="13"/>
      <c r="W29" s="13"/>
      <c r="X29" s="13"/>
      <c r="Y29" s="10"/>
      <c r="Z29" s="10" t="s">
        <v>947</v>
      </c>
      <c r="AA29" s="10" t="s">
        <v>1087</v>
      </c>
      <c r="AB29" s="10"/>
      <c r="AC29" s="10"/>
      <c r="AD29" s="10"/>
    </row>
    <row r="30" spans="1:30" ht="10.5" customHeight="1" x14ac:dyDescent="0.25">
      <c r="A30" s="9">
        <v>29</v>
      </c>
      <c r="B30" s="13"/>
      <c r="C30" s="13"/>
      <c r="D30" s="13"/>
      <c r="E30" s="13"/>
      <c r="F30" s="13"/>
      <c r="G30" s="13"/>
      <c r="H30" s="385">
        <v>113</v>
      </c>
      <c r="I30" s="385" t="s">
        <v>82</v>
      </c>
      <c r="J30" s="387" t="b">
        <v>0</v>
      </c>
      <c r="K30" s="386" t="b">
        <v>1</v>
      </c>
      <c r="L30" s="387" t="b">
        <v>0</v>
      </c>
      <c r="M30" s="387" t="b">
        <v>0</v>
      </c>
      <c r="N30" s="10" t="s">
        <v>123</v>
      </c>
      <c r="O30" s="10" t="s">
        <v>122</v>
      </c>
      <c r="P30" s="13"/>
      <c r="Q30" s="13"/>
      <c r="R30" s="358"/>
      <c r="S30" s="330" t="s">
        <v>754</v>
      </c>
      <c r="T30" s="331" t="s">
        <v>753</v>
      </c>
      <c r="U30" s="13"/>
      <c r="V30" s="13"/>
      <c r="W30" s="13"/>
      <c r="X30" s="13"/>
      <c r="Y30" s="10"/>
      <c r="Z30" s="10" t="s">
        <v>948</v>
      </c>
      <c r="AA30" s="10" t="s">
        <v>1088</v>
      </c>
      <c r="AB30" s="10"/>
      <c r="AC30" s="10"/>
      <c r="AD30" s="10"/>
    </row>
    <row r="31" spans="1:30" ht="10.5" customHeight="1" x14ac:dyDescent="0.25">
      <c r="A31" s="9">
        <v>30</v>
      </c>
      <c r="B31" s="13"/>
      <c r="C31" s="13"/>
      <c r="D31" s="13"/>
      <c r="E31" s="13"/>
      <c r="F31" s="13"/>
      <c r="G31" s="13"/>
      <c r="H31" s="383">
        <v>99</v>
      </c>
      <c r="I31" s="383" t="s">
        <v>58</v>
      </c>
      <c r="J31" s="384" t="b">
        <v>1</v>
      </c>
      <c r="K31" s="384" t="b">
        <v>1</v>
      </c>
      <c r="L31" s="383" t="b">
        <v>0</v>
      </c>
      <c r="M31" s="383" t="b">
        <v>0</v>
      </c>
      <c r="N31" s="10" t="s">
        <v>125</v>
      </c>
      <c r="O31" s="10" t="s">
        <v>124</v>
      </c>
      <c r="P31" s="13"/>
      <c r="Q31" s="13"/>
      <c r="R31" s="358"/>
      <c r="S31" s="330" t="s">
        <v>770</v>
      </c>
      <c r="T31" s="331" t="s">
        <v>769</v>
      </c>
      <c r="U31" s="13"/>
      <c r="V31" s="13"/>
      <c r="W31" s="13"/>
      <c r="X31" s="13"/>
      <c r="Y31" s="10"/>
      <c r="Z31" s="10" t="s">
        <v>949</v>
      </c>
      <c r="AA31" s="10" t="s">
        <v>1089</v>
      </c>
      <c r="AB31" s="10"/>
      <c r="AC31" s="10"/>
      <c r="AD31" s="10"/>
    </row>
    <row r="32" spans="1:30" ht="10.5" customHeight="1" x14ac:dyDescent="0.25">
      <c r="A32" s="9">
        <v>31</v>
      </c>
      <c r="B32" s="13"/>
      <c r="C32" s="13"/>
      <c r="D32" s="13"/>
      <c r="E32" s="13"/>
      <c r="F32" s="13"/>
      <c r="G32" s="13"/>
      <c r="H32" s="29">
        <v>999</v>
      </c>
      <c r="I32" s="29" t="s">
        <v>1209</v>
      </c>
      <c r="J32" s="28" t="b">
        <v>1</v>
      </c>
      <c r="K32" s="28" t="b">
        <v>1</v>
      </c>
      <c r="L32" s="29" t="b">
        <v>0</v>
      </c>
      <c r="M32" s="29" t="b">
        <v>0</v>
      </c>
      <c r="N32" s="10" t="s">
        <v>127</v>
      </c>
      <c r="O32" s="10" t="s">
        <v>126</v>
      </c>
      <c r="P32" s="13"/>
      <c r="Q32" s="13"/>
      <c r="R32" s="358"/>
      <c r="S32" s="332" t="s">
        <v>385</v>
      </c>
      <c r="T32" s="333" t="s">
        <v>384</v>
      </c>
      <c r="U32" s="13"/>
      <c r="V32" s="13"/>
      <c r="W32" s="13"/>
      <c r="X32" s="13"/>
      <c r="Y32" s="10"/>
      <c r="Z32" s="10" t="s">
        <v>950</v>
      </c>
      <c r="AA32" s="10" t="s">
        <v>1090</v>
      </c>
      <c r="AB32" s="10"/>
      <c r="AC32" s="10"/>
      <c r="AD32" s="10"/>
    </row>
    <row r="33" spans="1:30" ht="10.5" customHeight="1" x14ac:dyDescent="0.25">
      <c r="A33" s="9">
        <v>32</v>
      </c>
      <c r="B33" s="13"/>
      <c r="C33" s="13"/>
      <c r="D33" s="13"/>
      <c r="E33" s="13"/>
      <c r="F33" s="13"/>
      <c r="G33" s="13"/>
      <c r="H33" s="27"/>
      <c r="I33" s="27"/>
      <c r="J33" s="27"/>
      <c r="K33" s="13"/>
      <c r="L33" s="13"/>
      <c r="M33" s="13"/>
      <c r="N33" s="10" t="s">
        <v>128</v>
      </c>
      <c r="O33" s="10" t="s">
        <v>16</v>
      </c>
      <c r="P33" s="13"/>
      <c r="Q33" s="13"/>
      <c r="R33" s="13"/>
      <c r="S33" s="332" t="s">
        <v>395</v>
      </c>
      <c r="T33" s="333" t="s">
        <v>394</v>
      </c>
      <c r="U33" s="13"/>
      <c r="V33" s="13"/>
      <c r="W33" s="13"/>
      <c r="X33" s="13"/>
      <c r="Y33" s="10"/>
      <c r="Z33" s="10" t="s">
        <v>951</v>
      </c>
      <c r="AA33" s="10" t="s">
        <v>1091</v>
      </c>
      <c r="AB33" s="10"/>
      <c r="AC33" s="10"/>
      <c r="AD33" s="10"/>
    </row>
    <row r="34" spans="1:30" ht="10.5" customHeight="1" x14ac:dyDescent="0.25">
      <c r="A34" s="9">
        <v>33</v>
      </c>
      <c r="B34" s="13"/>
      <c r="C34" s="13"/>
      <c r="D34" s="13"/>
      <c r="E34" s="13"/>
      <c r="F34" s="13"/>
      <c r="G34" s="13"/>
      <c r="H34" s="27"/>
      <c r="I34" s="27"/>
      <c r="J34" s="27"/>
      <c r="K34" s="13"/>
      <c r="L34" s="13"/>
      <c r="M34" s="13"/>
      <c r="N34" s="10" t="s">
        <v>130</v>
      </c>
      <c r="O34" s="10" t="s">
        <v>129</v>
      </c>
      <c r="P34" s="13"/>
      <c r="Q34" s="13"/>
      <c r="R34" s="358"/>
      <c r="S34" s="332" t="s">
        <v>413</v>
      </c>
      <c r="T34" s="333" t="s">
        <v>412</v>
      </c>
      <c r="U34" s="13"/>
      <c r="V34" s="13"/>
      <c r="W34" s="13"/>
      <c r="X34" s="13"/>
      <c r="Y34" s="10"/>
      <c r="Z34" s="10" t="s">
        <v>952</v>
      </c>
      <c r="AA34" s="10" t="s">
        <v>1092</v>
      </c>
      <c r="AB34" s="10"/>
      <c r="AC34" s="10"/>
      <c r="AD34" s="10"/>
    </row>
    <row r="35" spans="1:30" ht="10.5" customHeight="1" x14ac:dyDescent="0.25">
      <c r="A35" s="9">
        <v>34</v>
      </c>
      <c r="B35" s="13"/>
      <c r="C35" s="13"/>
      <c r="D35" s="13"/>
      <c r="E35" s="13"/>
      <c r="F35" s="13"/>
      <c r="G35" s="13"/>
      <c r="H35" s="27"/>
      <c r="I35" s="27"/>
      <c r="J35" s="27"/>
      <c r="K35" s="13"/>
      <c r="L35" s="13"/>
      <c r="M35" s="13"/>
      <c r="N35" s="10" t="s">
        <v>131</v>
      </c>
      <c r="O35" s="10" t="s">
        <v>15</v>
      </c>
      <c r="P35" s="13"/>
      <c r="Q35" s="13"/>
      <c r="R35" s="13"/>
      <c r="S35" s="332" t="s">
        <v>415</v>
      </c>
      <c r="T35" s="333" t="s">
        <v>414</v>
      </c>
      <c r="U35" s="13"/>
      <c r="V35" s="13"/>
      <c r="W35" s="13"/>
      <c r="X35" s="13"/>
      <c r="Y35" s="10"/>
      <c r="Z35" s="10" t="s">
        <v>953</v>
      </c>
      <c r="AA35" s="10" t="s">
        <v>1093</v>
      </c>
      <c r="AB35" s="10"/>
      <c r="AC35" s="10"/>
      <c r="AD35" s="10"/>
    </row>
    <row r="36" spans="1:30" ht="10.5" customHeight="1" x14ac:dyDescent="0.25">
      <c r="A36" s="9">
        <v>35</v>
      </c>
      <c r="B36" s="13"/>
      <c r="C36" s="13"/>
      <c r="D36" s="13"/>
      <c r="E36" s="13"/>
      <c r="F36" s="13"/>
      <c r="G36" s="13"/>
      <c r="H36" s="27"/>
      <c r="I36" s="27"/>
      <c r="J36" s="27"/>
      <c r="K36" s="13"/>
      <c r="L36" s="13"/>
      <c r="M36" s="13"/>
      <c r="N36" s="10" t="s">
        <v>133</v>
      </c>
      <c r="O36" s="10" t="s">
        <v>132</v>
      </c>
      <c r="P36" s="13"/>
      <c r="Q36" s="13"/>
      <c r="R36" s="13"/>
      <c r="S36" s="332" t="s">
        <v>417</v>
      </c>
      <c r="T36" s="333" t="s">
        <v>416</v>
      </c>
      <c r="U36" s="13"/>
      <c r="V36" s="13"/>
      <c r="W36" s="13"/>
      <c r="X36" s="13"/>
      <c r="Y36" s="10"/>
      <c r="Z36" s="10" t="s">
        <v>954</v>
      </c>
      <c r="AA36" s="10" t="s">
        <v>1094</v>
      </c>
      <c r="AB36" s="10"/>
      <c r="AC36" s="10"/>
      <c r="AD36" s="10"/>
    </row>
    <row r="37" spans="1:30" ht="10.5" customHeight="1" x14ac:dyDescent="0.25">
      <c r="A37" s="9">
        <v>36</v>
      </c>
      <c r="B37" s="13"/>
      <c r="C37" s="13"/>
      <c r="D37" s="13"/>
      <c r="E37" s="13"/>
      <c r="F37" s="13"/>
      <c r="G37" s="13"/>
      <c r="H37" s="27"/>
      <c r="I37" s="27"/>
      <c r="J37" s="27"/>
      <c r="K37" s="13"/>
      <c r="L37" s="13"/>
      <c r="M37" s="13"/>
      <c r="N37" s="10" t="s">
        <v>135</v>
      </c>
      <c r="O37" s="10" t="s">
        <v>134</v>
      </c>
      <c r="P37" s="13"/>
      <c r="Q37" s="13"/>
      <c r="R37" s="358"/>
      <c r="S37" s="332" t="s">
        <v>453</v>
      </c>
      <c r="T37" s="333" t="s">
        <v>452</v>
      </c>
      <c r="U37" s="13"/>
      <c r="V37" s="13"/>
      <c r="W37" s="13"/>
      <c r="X37" s="13"/>
      <c r="Y37" s="10"/>
      <c r="Z37" s="10" t="s">
        <v>955</v>
      </c>
      <c r="AA37" s="10" t="s">
        <v>1095</v>
      </c>
      <c r="AB37" s="10"/>
      <c r="AC37" s="10"/>
      <c r="AD37" s="10"/>
    </row>
    <row r="38" spans="1:30" ht="10.5" customHeight="1" x14ac:dyDescent="0.25">
      <c r="A38" s="9">
        <v>37</v>
      </c>
      <c r="B38" s="13"/>
      <c r="C38" s="13"/>
      <c r="D38" s="13"/>
      <c r="E38" s="13"/>
      <c r="F38" s="13"/>
      <c r="G38" s="13"/>
      <c r="H38" s="27"/>
      <c r="I38" s="27"/>
      <c r="J38" s="27"/>
      <c r="K38" s="13"/>
      <c r="L38" s="13"/>
      <c r="M38" s="13"/>
      <c r="N38" s="10" t="s">
        <v>136</v>
      </c>
      <c r="O38" s="10" t="s">
        <v>17</v>
      </c>
      <c r="P38" s="13"/>
      <c r="Q38" s="13"/>
      <c r="R38" s="358"/>
      <c r="S38" s="332" t="s">
        <v>466</v>
      </c>
      <c r="T38" s="333" t="s">
        <v>465</v>
      </c>
      <c r="U38" s="13"/>
      <c r="V38" s="13"/>
      <c r="W38" s="13"/>
      <c r="X38" s="13"/>
      <c r="Y38" s="10"/>
      <c r="Z38" s="10" t="s">
        <v>956</v>
      </c>
      <c r="AA38" s="10" t="s">
        <v>1096</v>
      </c>
      <c r="AB38" s="10"/>
      <c r="AC38" s="10"/>
      <c r="AD38" s="10"/>
    </row>
    <row r="39" spans="1:30" ht="10.5" customHeight="1" x14ac:dyDescent="0.25">
      <c r="A39" s="9">
        <v>38</v>
      </c>
      <c r="B39" s="13"/>
      <c r="C39" s="13"/>
      <c r="D39" s="13"/>
      <c r="E39" s="13"/>
      <c r="F39" s="13"/>
      <c r="G39" s="13"/>
      <c r="H39" s="27"/>
      <c r="I39" s="27"/>
      <c r="J39" s="27"/>
      <c r="K39" s="13"/>
      <c r="L39" s="13"/>
      <c r="M39" s="13"/>
      <c r="N39" s="10" t="s">
        <v>138</v>
      </c>
      <c r="O39" s="10" t="s">
        <v>137</v>
      </c>
      <c r="P39" s="13"/>
      <c r="Q39" s="13"/>
      <c r="R39" s="13"/>
      <c r="S39" s="332" t="s">
        <v>527</v>
      </c>
      <c r="T39" s="333" t="s">
        <v>526</v>
      </c>
      <c r="U39" s="13"/>
      <c r="V39" s="13"/>
      <c r="W39" s="13"/>
      <c r="X39" s="13"/>
      <c r="Y39" s="10"/>
      <c r="Z39" s="10" t="s">
        <v>957</v>
      </c>
      <c r="AA39" s="10" t="s">
        <v>1097</v>
      </c>
      <c r="AB39" s="10"/>
      <c r="AC39" s="10"/>
      <c r="AD39" s="10"/>
    </row>
    <row r="40" spans="1:30" ht="10.5" customHeight="1" x14ac:dyDescent="0.25">
      <c r="A40" s="9">
        <v>39</v>
      </c>
      <c r="B40" s="13"/>
      <c r="C40" s="13"/>
      <c r="D40" s="13"/>
      <c r="E40" s="13"/>
      <c r="F40" s="13"/>
      <c r="G40" s="13"/>
      <c r="H40" s="27"/>
      <c r="I40" s="27"/>
      <c r="J40" s="27"/>
      <c r="K40" s="13"/>
      <c r="L40" s="13"/>
      <c r="M40" s="13"/>
      <c r="N40" s="10" t="s">
        <v>140</v>
      </c>
      <c r="O40" s="10" t="s">
        <v>139</v>
      </c>
      <c r="P40" s="13"/>
      <c r="Q40" s="13"/>
      <c r="R40" s="13"/>
      <c r="S40" s="332" t="s">
        <v>541</v>
      </c>
      <c r="T40" s="333" t="s">
        <v>540</v>
      </c>
      <c r="U40" s="13"/>
      <c r="V40" s="13"/>
      <c r="W40" s="13"/>
      <c r="X40" s="13"/>
      <c r="Y40" s="10"/>
      <c r="Z40" s="10" t="s">
        <v>958</v>
      </c>
      <c r="AA40" s="10" t="s">
        <v>1098</v>
      </c>
      <c r="AB40" s="10"/>
      <c r="AC40" s="10"/>
      <c r="AD40" s="10"/>
    </row>
    <row r="41" spans="1:30" ht="10.5" customHeight="1" x14ac:dyDescent="0.25">
      <c r="A41" s="9">
        <v>40</v>
      </c>
      <c r="B41" s="13"/>
      <c r="C41" s="13"/>
      <c r="D41" s="13"/>
      <c r="E41" s="13"/>
      <c r="F41" s="13"/>
      <c r="G41" s="13"/>
      <c r="H41" s="27"/>
      <c r="I41" s="27"/>
      <c r="J41" s="27"/>
      <c r="K41" s="13"/>
      <c r="L41" s="13"/>
      <c r="M41" s="13"/>
      <c r="N41" s="10" t="s">
        <v>142</v>
      </c>
      <c r="O41" s="10" t="s">
        <v>141</v>
      </c>
      <c r="P41" s="13"/>
      <c r="Q41" s="13"/>
      <c r="R41" s="13"/>
      <c r="S41" s="332" t="s">
        <v>545</v>
      </c>
      <c r="T41" s="333" t="s">
        <v>544</v>
      </c>
      <c r="U41" s="13"/>
      <c r="V41" s="13"/>
      <c r="W41" s="13"/>
      <c r="X41" s="13"/>
      <c r="Y41" s="10"/>
      <c r="Z41" s="10" t="s">
        <v>959</v>
      </c>
      <c r="AA41" s="10" t="s">
        <v>1099</v>
      </c>
      <c r="AB41" s="10"/>
      <c r="AC41" s="10"/>
      <c r="AD41" s="10"/>
    </row>
    <row r="42" spans="1:30" ht="10.5" customHeight="1" x14ac:dyDescent="0.25">
      <c r="A42" s="9">
        <v>41</v>
      </c>
      <c r="B42" s="13"/>
      <c r="C42" s="13"/>
      <c r="D42" s="13"/>
      <c r="E42" s="13"/>
      <c r="F42" s="13"/>
      <c r="G42" s="13"/>
      <c r="H42" s="27"/>
      <c r="I42" s="27"/>
      <c r="J42" s="27"/>
      <c r="K42" s="13"/>
      <c r="L42" s="13"/>
      <c r="M42" s="13"/>
      <c r="N42" s="10" t="s">
        <v>145</v>
      </c>
      <c r="O42" s="10" t="s">
        <v>19</v>
      </c>
      <c r="P42" s="13"/>
      <c r="Q42" s="13"/>
      <c r="R42" s="13"/>
      <c r="S42" s="332" t="s">
        <v>587</v>
      </c>
      <c r="T42" s="333" t="s">
        <v>586</v>
      </c>
      <c r="U42" s="13"/>
      <c r="V42" s="13"/>
      <c r="W42" s="13"/>
      <c r="X42" s="13"/>
      <c r="Y42" s="10"/>
      <c r="Z42" s="10" t="s">
        <v>960</v>
      </c>
      <c r="AA42" s="10" t="s">
        <v>1100</v>
      </c>
      <c r="AB42" s="10"/>
      <c r="AC42" s="10"/>
      <c r="AD42" s="10"/>
    </row>
    <row r="43" spans="1:30" ht="10.5" customHeight="1" x14ac:dyDescent="0.25">
      <c r="A43" s="9">
        <v>42</v>
      </c>
      <c r="B43" s="13"/>
      <c r="C43" s="13"/>
      <c r="D43" s="13"/>
      <c r="E43" s="13"/>
      <c r="F43" s="13"/>
      <c r="G43" s="13"/>
      <c r="H43" s="27"/>
      <c r="I43" s="27"/>
      <c r="J43" s="27"/>
      <c r="K43" s="13"/>
      <c r="L43" s="13"/>
      <c r="M43" s="13"/>
      <c r="N43" s="10" t="s">
        <v>144</v>
      </c>
      <c r="O43" s="10" t="s">
        <v>143</v>
      </c>
      <c r="P43" s="13"/>
      <c r="Q43" s="13"/>
      <c r="R43" s="13"/>
      <c r="S43" s="332" t="s">
        <v>597</v>
      </c>
      <c r="T43" s="333" t="s">
        <v>596</v>
      </c>
      <c r="U43" s="13"/>
      <c r="V43" s="13"/>
      <c r="W43" s="13"/>
      <c r="X43" s="13"/>
      <c r="Y43" s="10"/>
      <c r="Z43" s="10" t="s">
        <v>961</v>
      </c>
      <c r="AA43" s="10" t="s">
        <v>1101</v>
      </c>
      <c r="AB43" s="10"/>
      <c r="AC43" s="10"/>
      <c r="AD43" s="10"/>
    </row>
    <row r="44" spans="1:30" ht="10.5" customHeight="1" x14ac:dyDescent="0.25">
      <c r="A44" s="9">
        <v>43</v>
      </c>
      <c r="B44" s="13"/>
      <c r="C44" s="13"/>
      <c r="D44" s="13"/>
      <c r="E44" s="13"/>
      <c r="F44" s="13"/>
      <c r="G44" s="13"/>
      <c r="H44" s="27"/>
      <c r="I44" s="27"/>
      <c r="J44" s="27"/>
      <c r="K44" s="13"/>
      <c r="L44" s="13"/>
      <c r="M44" s="13"/>
      <c r="N44" s="10" t="s">
        <v>147</v>
      </c>
      <c r="O44" s="10" t="s">
        <v>146</v>
      </c>
      <c r="P44" s="13"/>
      <c r="Q44" s="13"/>
      <c r="R44" s="13"/>
      <c r="S44" s="332" t="s">
        <v>601</v>
      </c>
      <c r="T44" s="333" t="s">
        <v>600</v>
      </c>
      <c r="U44" s="13"/>
      <c r="V44" s="13"/>
      <c r="W44" s="13"/>
      <c r="X44" s="13"/>
      <c r="Y44" s="10"/>
      <c r="Z44" s="10" t="s">
        <v>962</v>
      </c>
      <c r="AA44" s="10" t="s">
        <v>1102</v>
      </c>
      <c r="AB44" s="10"/>
      <c r="AC44" s="10"/>
      <c r="AD44" s="10"/>
    </row>
    <row r="45" spans="1:30" ht="10.5" customHeight="1" x14ac:dyDescent="0.25">
      <c r="A45" s="9">
        <v>44</v>
      </c>
      <c r="B45" s="13"/>
      <c r="C45" s="13"/>
      <c r="D45" s="13"/>
      <c r="E45" s="13"/>
      <c r="F45" s="13"/>
      <c r="G45" s="13"/>
      <c r="H45" s="27"/>
      <c r="I45" s="27"/>
      <c r="J45" s="27"/>
      <c r="K45" s="13"/>
      <c r="L45" s="13"/>
      <c r="M45" s="13"/>
      <c r="N45" s="10" t="s">
        <v>149</v>
      </c>
      <c r="O45" s="10" t="s">
        <v>148</v>
      </c>
      <c r="P45" s="13"/>
      <c r="Q45" s="13"/>
      <c r="R45" s="13"/>
      <c r="S45" s="332" t="s">
        <v>629</v>
      </c>
      <c r="T45" s="333" t="s">
        <v>628</v>
      </c>
      <c r="U45" s="13"/>
      <c r="V45" s="13"/>
      <c r="W45" s="13"/>
      <c r="X45" s="13"/>
      <c r="Y45" s="10"/>
      <c r="Z45" s="10" t="s">
        <v>963</v>
      </c>
      <c r="AA45" s="10" t="s">
        <v>1103</v>
      </c>
      <c r="AB45" s="10"/>
      <c r="AC45" s="10"/>
      <c r="AD45" s="10"/>
    </row>
    <row r="46" spans="1:30" ht="10.5" customHeight="1" x14ac:dyDescent="0.25">
      <c r="A46" s="9">
        <v>45</v>
      </c>
      <c r="B46" s="13"/>
      <c r="C46" s="13"/>
      <c r="D46" s="13"/>
      <c r="E46" s="13"/>
      <c r="F46" s="13"/>
      <c r="G46" s="13"/>
      <c r="H46" s="27"/>
      <c r="I46" s="27"/>
      <c r="J46" s="27"/>
      <c r="K46" s="13"/>
      <c r="L46" s="13"/>
      <c r="M46" s="13"/>
      <c r="N46" s="10" t="s">
        <v>151</v>
      </c>
      <c r="O46" s="10" t="s">
        <v>150</v>
      </c>
      <c r="P46" s="13"/>
      <c r="Q46" s="13"/>
      <c r="R46" s="13"/>
      <c r="S46" s="332" t="s">
        <v>637</v>
      </c>
      <c r="T46" s="333" t="s">
        <v>636</v>
      </c>
      <c r="U46" s="13"/>
      <c r="V46" s="13"/>
      <c r="W46" s="13"/>
      <c r="X46" s="13"/>
      <c r="Y46" s="10"/>
      <c r="Z46" s="10" t="s">
        <v>964</v>
      </c>
      <c r="AA46" s="10" t="s">
        <v>1104</v>
      </c>
      <c r="AB46" s="10"/>
      <c r="AC46" s="10"/>
      <c r="AD46" s="10"/>
    </row>
    <row r="47" spans="1:30" ht="10.5" customHeight="1" x14ac:dyDescent="0.25">
      <c r="A47" s="9">
        <v>46</v>
      </c>
      <c r="B47" s="13"/>
      <c r="C47" s="13"/>
      <c r="D47" s="13"/>
      <c r="E47" s="13"/>
      <c r="F47" s="13"/>
      <c r="G47" s="13"/>
      <c r="H47" s="27"/>
      <c r="I47" s="27"/>
      <c r="J47" s="27"/>
      <c r="K47" s="13"/>
      <c r="L47" s="13"/>
      <c r="M47" s="13"/>
      <c r="N47" s="10" t="s">
        <v>153</v>
      </c>
      <c r="O47" s="10" t="s">
        <v>152</v>
      </c>
      <c r="P47" s="13"/>
      <c r="Q47" s="13"/>
      <c r="R47" s="13"/>
      <c r="S47" s="332" t="s">
        <v>655</v>
      </c>
      <c r="T47" s="333" t="s">
        <v>654</v>
      </c>
      <c r="U47" s="13"/>
      <c r="V47" s="13"/>
      <c r="W47" s="13"/>
      <c r="X47" s="13"/>
      <c r="Y47" s="10"/>
      <c r="Z47" s="10" t="s">
        <v>965</v>
      </c>
      <c r="AA47" s="10" t="s">
        <v>1105</v>
      </c>
      <c r="AB47" s="10"/>
      <c r="AC47" s="10"/>
      <c r="AD47" s="10"/>
    </row>
    <row r="48" spans="1:30" ht="10.5" customHeight="1" x14ac:dyDescent="0.25">
      <c r="A48" s="9">
        <v>47</v>
      </c>
      <c r="B48" s="13"/>
      <c r="C48" s="13"/>
      <c r="D48" s="13"/>
      <c r="E48" s="13"/>
      <c r="F48" s="13"/>
      <c r="G48" s="13"/>
      <c r="H48" s="27"/>
      <c r="I48" s="27"/>
      <c r="J48" s="27"/>
      <c r="K48" s="13"/>
      <c r="L48" s="13"/>
      <c r="M48" s="13"/>
      <c r="N48" s="10" t="s">
        <v>155</v>
      </c>
      <c r="O48" s="10" t="s">
        <v>154</v>
      </c>
      <c r="P48" s="13"/>
      <c r="Q48" s="13"/>
      <c r="R48" s="13"/>
      <c r="S48" s="332" t="s">
        <v>657</v>
      </c>
      <c r="T48" s="333" t="s">
        <v>656</v>
      </c>
      <c r="U48" s="13"/>
      <c r="V48" s="13"/>
      <c r="W48" s="13"/>
      <c r="X48" s="13"/>
      <c r="Y48" s="10"/>
      <c r="Z48" s="10" t="s">
        <v>919</v>
      </c>
      <c r="AA48" s="10" t="s">
        <v>1106</v>
      </c>
      <c r="AB48" s="10"/>
      <c r="AC48" s="10"/>
      <c r="AD48" s="10"/>
    </row>
    <row r="49" spans="1:30" ht="10.5" customHeight="1" x14ac:dyDescent="0.25">
      <c r="A49" s="9">
        <v>48</v>
      </c>
      <c r="B49" s="13"/>
      <c r="C49" s="13"/>
      <c r="D49" s="13"/>
      <c r="E49" s="13"/>
      <c r="F49" s="13"/>
      <c r="G49" s="13"/>
      <c r="H49" s="27"/>
      <c r="I49" s="27"/>
      <c r="J49" s="27"/>
      <c r="K49" s="13"/>
      <c r="L49" s="13"/>
      <c r="M49" s="13"/>
      <c r="N49" s="10" t="s">
        <v>157</v>
      </c>
      <c r="O49" s="10" t="s">
        <v>156</v>
      </c>
      <c r="P49" s="13"/>
      <c r="Q49" s="13"/>
      <c r="R49" s="13"/>
      <c r="S49" s="332" t="s">
        <v>659</v>
      </c>
      <c r="T49" s="333" t="s">
        <v>658</v>
      </c>
      <c r="U49" s="13"/>
      <c r="V49" s="13"/>
      <c r="W49" s="13"/>
      <c r="X49" s="13"/>
      <c r="Y49" s="10"/>
      <c r="Z49" s="10" t="s">
        <v>966</v>
      </c>
      <c r="AA49" s="10" t="s">
        <v>1107</v>
      </c>
      <c r="AB49" s="10"/>
      <c r="AC49" s="10"/>
      <c r="AD49" s="10"/>
    </row>
    <row r="50" spans="1:30" ht="10.5" customHeight="1" x14ac:dyDescent="0.25">
      <c r="A50" s="9">
        <v>49</v>
      </c>
      <c r="B50" s="13"/>
      <c r="C50" s="13"/>
      <c r="D50" s="13"/>
      <c r="E50" s="13"/>
      <c r="F50" s="13"/>
      <c r="G50" s="13"/>
      <c r="H50" s="27"/>
      <c r="I50" s="27"/>
      <c r="J50" s="27"/>
      <c r="K50" s="13"/>
      <c r="L50" s="13"/>
      <c r="M50" s="13"/>
      <c r="N50" s="10" t="s">
        <v>159</v>
      </c>
      <c r="O50" s="10" t="s">
        <v>158</v>
      </c>
      <c r="P50" s="13"/>
      <c r="Q50" s="13"/>
      <c r="R50" s="13"/>
      <c r="S50" s="332" t="s">
        <v>710</v>
      </c>
      <c r="T50" s="333" t="s">
        <v>709</v>
      </c>
      <c r="U50" s="13"/>
      <c r="V50" s="13"/>
      <c r="W50" s="13"/>
      <c r="X50" s="13"/>
      <c r="Y50" s="10"/>
      <c r="Z50" s="10" t="s">
        <v>967</v>
      </c>
      <c r="AA50" s="10" t="s">
        <v>1108</v>
      </c>
      <c r="AB50" s="10"/>
      <c r="AC50" s="10"/>
      <c r="AD50" s="10"/>
    </row>
    <row r="51" spans="1:30" ht="10.5" customHeight="1" x14ac:dyDescent="0.25">
      <c r="A51" s="9">
        <v>50</v>
      </c>
      <c r="B51" s="13"/>
      <c r="C51" s="13"/>
      <c r="D51" s="13"/>
      <c r="E51" s="13"/>
      <c r="F51" s="13"/>
      <c r="G51" s="13"/>
      <c r="H51" s="27"/>
      <c r="I51" s="27"/>
      <c r="J51" s="27"/>
      <c r="K51" s="13"/>
      <c r="L51" s="13"/>
      <c r="M51" s="13"/>
      <c r="N51" s="10" t="s">
        <v>160</v>
      </c>
      <c r="O51" s="10" t="s">
        <v>26</v>
      </c>
      <c r="P51" s="13"/>
      <c r="Q51" s="13"/>
      <c r="R51" s="13"/>
      <c r="S51" s="332" t="s">
        <v>756</v>
      </c>
      <c r="T51" s="333" t="s">
        <v>755</v>
      </c>
      <c r="U51" s="13"/>
      <c r="V51" s="13"/>
      <c r="W51" s="13"/>
      <c r="X51" s="13"/>
      <c r="Y51" s="10"/>
      <c r="Z51" s="10" t="s">
        <v>968</v>
      </c>
      <c r="AA51" s="10" t="s">
        <v>1109</v>
      </c>
      <c r="AB51" s="10"/>
      <c r="AC51" s="10"/>
      <c r="AD51" s="10"/>
    </row>
    <row r="52" spans="1:30" ht="10.5" customHeight="1" x14ac:dyDescent="0.25">
      <c r="A52" s="9">
        <v>51</v>
      </c>
      <c r="B52" s="13"/>
      <c r="C52" s="13"/>
      <c r="D52" s="13"/>
      <c r="E52" s="13"/>
      <c r="F52" s="13"/>
      <c r="G52" s="13"/>
      <c r="H52" s="27"/>
      <c r="I52" s="27"/>
      <c r="J52" s="27"/>
      <c r="K52" s="13"/>
      <c r="L52" s="13"/>
      <c r="M52" s="13"/>
      <c r="N52" s="10" t="s">
        <v>162</v>
      </c>
      <c r="O52" s="10" t="s">
        <v>161</v>
      </c>
      <c r="P52" s="13"/>
      <c r="Q52" s="13"/>
      <c r="R52" s="13"/>
      <c r="S52" s="332" t="s">
        <v>758</v>
      </c>
      <c r="T52" s="333" t="s">
        <v>757</v>
      </c>
      <c r="U52" s="13"/>
      <c r="V52" s="13"/>
      <c r="W52" s="13"/>
      <c r="X52" s="13"/>
      <c r="Y52" s="10"/>
      <c r="Z52" s="12" t="s">
        <v>969</v>
      </c>
      <c r="AA52" s="12" t="s">
        <v>1110</v>
      </c>
      <c r="AB52" s="12"/>
      <c r="AC52" s="12"/>
      <c r="AD52" s="12"/>
    </row>
    <row r="53" spans="1:30" ht="10.5" customHeight="1" x14ac:dyDescent="0.25">
      <c r="A53" s="9">
        <v>52</v>
      </c>
      <c r="B53" s="13"/>
      <c r="C53" s="13"/>
      <c r="D53" s="13"/>
      <c r="E53" s="13"/>
      <c r="F53" s="13"/>
      <c r="G53" s="13"/>
      <c r="H53" s="27"/>
      <c r="I53" s="27"/>
      <c r="J53" s="27"/>
      <c r="K53" s="13"/>
      <c r="L53" s="13"/>
      <c r="M53" s="13"/>
      <c r="N53" s="10" t="s">
        <v>164</v>
      </c>
      <c r="O53" s="10" t="s">
        <v>163</v>
      </c>
      <c r="P53" s="13"/>
      <c r="Q53" s="13"/>
      <c r="R53" s="13"/>
      <c r="S53" s="332" t="s">
        <v>778</v>
      </c>
      <c r="T53" s="333" t="s">
        <v>777</v>
      </c>
      <c r="U53" s="13"/>
      <c r="V53" s="13"/>
      <c r="W53" s="13"/>
      <c r="X53" s="13"/>
      <c r="Y53" s="10"/>
      <c r="Z53" s="12" t="s">
        <v>970</v>
      </c>
      <c r="AA53" s="12" t="s">
        <v>1111</v>
      </c>
      <c r="AB53" s="12"/>
      <c r="AC53" s="12"/>
      <c r="AD53" s="12"/>
    </row>
    <row r="54" spans="1:30" ht="10.5" customHeight="1" x14ac:dyDescent="0.25">
      <c r="A54" s="9">
        <v>53</v>
      </c>
      <c r="B54" s="13"/>
      <c r="C54" s="13"/>
      <c r="D54" s="13"/>
      <c r="E54" s="13"/>
      <c r="F54" s="13"/>
      <c r="G54" s="13"/>
      <c r="H54" s="27"/>
      <c r="I54" s="27"/>
      <c r="J54" s="27"/>
      <c r="K54" s="13"/>
      <c r="L54" s="13"/>
      <c r="M54" s="13"/>
      <c r="N54" s="10" t="s">
        <v>165</v>
      </c>
      <c r="O54" s="10" t="s">
        <v>20</v>
      </c>
      <c r="P54" s="13"/>
      <c r="Q54" s="13"/>
      <c r="R54" s="13"/>
      <c r="S54" s="332" t="s">
        <v>784</v>
      </c>
      <c r="T54" s="333" t="s">
        <v>783</v>
      </c>
      <c r="U54" s="13"/>
      <c r="V54" s="13"/>
      <c r="W54" s="13"/>
      <c r="X54" s="13"/>
      <c r="Y54" s="10"/>
      <c r="Z54" s="12" t="s">
        <v>971</v>
      </c>
      <c r="AA54" s="12" t="s">
        <v>1112</v>
      </c>
      <c r="AB54" s="12"/>
      <c r="AC54" s="12"/>
      <c r="AD54" s="12"/>
    </row>
    <row r="55" spans="1:30" ht="10.5" customHeight="1" x14ac:dyDescent="0.25">
      <c r="A55" s="9">
        <v>54</v>
      </c>
      <c r="B55" s="13"/>
      <c r="C55" s="13"/>
      <c r="D55" s="13"/>
      <c r="E55" s="13"/>
      <c r="F55" s="13"/>
      <c r="G55" s="13"/>
      <c r="H55" s="27"/>
      <c r="I55" s="27"/>
      <c r="J55" s="27"/>
      <c r="K55" s="13"/>
      <c r="L55" s="13"/>
      <c r="M55" s="13"/>
      <c r="N55" s="10" t="s">
        <v>168</v>
      </c>
      <c r="O55" s="10" t="s">
        <v>167</v>
      </c>
      <c r="P55" s="13"/>
      <c r="Q55" s="13"/>
      <c r="R55" s="13"/>
      <c r="S55" s="332" t="s">
        <v>826</v>
      </c>
      <c r="T55" s="333" t="s">
        <v>825</v>
      </c>
      <c r="U55" s="13"/>
      <c r="V55" s="13"/>
      <c r="W55" s="13"/>
      <c r="X55" s="13"/>
      <c r="Y55" s="10"/>
      <c r="Z55" s="12" t="s">
        <v>972</v>
      </c>
      <c r="AA55" s="12" t="s">
        <v>1113</v>
      </c>
      <c r="AB55" s="12"/>
      <c r="AC55" s="12"/>
      <c r="AD55" s="12"/>
    </row>
    <row r="56" spans="1:30" ht="10.5" customHeight="1" x14ac:dyDescent="0.25">
      <c r="A56" s="9">
        <v>55</v>
      </c>
      <c r="B56" s="13"/>
      <c r="C56" s="13"/>
      <c r="D56" s="13"/>
      <c r="E56" s="13"/>
      <c r="F56" s="13"/>
      <c r="G56" s="13"/>
      <c r="H56" s="27"/>
      <c r="I56" s="27"/>
      <c r="J56" s="27"/>
      <c r="K56" s="13"/>
      <c r="L56" s="13"/>
      <c r="M56" s="13"/>
      <c r="N56" s="10" t="s">
        <v>170</v>
      </c>
      <c r="O56" s="10" t="s">
        <v>169</v>
      </c>
      <c r="P56" s="13"/>
      <c r="Q56" s="13"/>
      <c r="R56" s="13"/>
      <c r="S56" s="332" t="s">
        <v>836</v>
      </c>
      <c r="T56" s="333" t="s">
        <v>835</v>
      </c>
      <c r="U56" s="13"/>
      <c r="V56" s="13"/>
      <c r="W56" s="13"/>
      <c r="X56" s="13"/>
      <c r="Y56" s="10"/>
      <c r="Z56" s="12" t="s">
        <v>973</v>
      </c>
      <c r="AA56" s="12" t="s">
        <v>1114</v>
      </c>
      <c r="AB56" s="12"/>
      <c r="AC56" s="12"/>
      <c r="AD56" s="12"/>
    </row>
    <row r="57" spans="1:30" ht="10.5" customHeight="1" x14ac:dyDescent="0.25">
      <c r="A57" s="9">
        <v>56</v>
      </c>
      <c r="B57" s="13"/>
      <c r="C57" s="13"/>
      <c r="D57" s="13"/>
      <c r="E57" s="13"/>
      <c r="F57" s="13"/>
      <c r="G57" s="13"/>
      <c r="H57" s="27"/>
      <c r="I57" s="27"/>
      <c r="J57" s="27"/>
      <c r="K57" s="13"/>
      <c r="L57" s="13"/>
      <c r="M57" s="13"/>
      <c r="N57" s="10" t="s">
        <v>172</v>
      </c>
      <c r="O57" s="10" t="s">
        <v>171</v>
      </c>
      <c r="P57" s="13"/>
      <c r="Q57" s="13"/>
      <c r="R57" s="13"/>
      <c r="S57" s="10" t="s">
        <v>409</v>
      </c>
      <c r="T57" s="18" t="s">
        <v>408</v>
      </c>
      <c r="U57" s="13"/>
      <c r="V57" s="13"/>
      <c r="W57" s="13"/>
      <c r="X57" s="13"/>
      <c r="Y57" s="10"/>
      <c r="Z57" s="12" t="s">
        <v>974</v>
      </c>
      <c r="AA57" s="12" t="s">
        <v>1115</v>
      </c>
      <c r="AB57" s="12"/>
      <c r="AC57" s="12"/>
      <c r="AD57" s="12"/>
    </row>
    <row r="58" spans="1:30" ht="10.5" customHeight="1" x14ac:dyDescent="0.25">
      <c r="A58" s="9">
        <v>57</v>
      </c>
      <c r="B58" s="13"/>
      <c r="C58" s="13"/>
      <c r="D58" s="13"/>
      <c r="E58" s="13"/>
      <c r="F58" s="13"/>
      <c r="G58" s="13"/>
      <c r="H58" s="27"/>
      <c r="I58" s="27"/>
      <c r="J58" s="27"/>
      <c r="K58" s="13"/>
      <c r="L58" s="13"/>
      <c r="M58" s="13"/>
      <c r="N58" s="10" t="s">
        <v>173</v>
      </c>
      <c r="O58" s="10" t="s">
        <v>22</v>
      </c>
      <c r="P58" s="13"/>
      <c r="Q58" s="13"/>
      <c r="R58" s="13"/>
      <c r="S58" s="10" t="s">
        <v>457</v>
      </c>
      <c r="T58" s="18" t="s">
        <v>456</v>
      </c>
      <c r="U58" s="13"/>
      <c r="V58" s="13"/>
      <c r="W58" s="13"/>
      <c r="X58" s="13"/>
      <c r="Y58" s="10"/>
      <c r="Z58" s="12" t="s">
        <v>975</v>
      </c>
      <c r="AA58" s="12" t="s">
        <v>1116</v>
      </c>
      <c r="AB58" s="12"/>
      <c r="AC58" s="12"/>
      <c r="AD58" s="12"/>
    </row>
    <row r="59" spans="1:30" ht="10.5" customHeight="1" x14ac:dyDescent="0.25">
      <c r="A59" s="9">
        <v>58</v>
      </c>
      <c r="B59" s="13"/>
      <c r="C59" s="13"/>
      <c r="D59" s="13"/>
      <c r="E59" s="13"/>
      <c r="F59" s="13"/>
      <c r="G59" s="13"/>
      <c r="H59" s="27"/>
      <c r="I59" s="27"/>
      <c r="J59" s="27"/>
      <c r="K59" s="13"/>
      <c r="L59" s="13"/>
      <c r="M59" s="13"/>
      <c r="N59" s="10" t="s">
        <v>175</v>
      </c>
      <c r="O59" s="10" t="s">
        <v>174</v>
      </c>
      <c r="P59" s="13"/>
      <c r="Q59" s="13"/>
      <c r="R59" s="13"/>
      <c r="S59" s="10" t="s">
        <v>476</v>
      </c>
      <c r="T59" s="18" t="s">
        <v>475</v>
      </c>
      <c r="U59" s="13"/>
      <c r="V59" s="13"/>
      <c r="W59" s="13"/>
      <c r="X59" s="13"/>
      <c r="Y59" s="10"/>
      <c r="Z59" s="12" t="s">
        <v>976</v>
      </c>
      <c r="AA59" s="12" t="s">
        <v>1117</v>
      </c>
      <c r="AB59" s="12"/>
      <c r="AC59" s="12"/>
      <c r="AD59" s="12"/>
    </row>
    <row r="60" spans="1:30" ht="10.5" customHeight="1" x14ac:dyDescent="0.25">
      <c r="A60" s="9">
        <v>59</v>
      </c>
      <c r="B60" s="13"/>
      <c r="C60" s="13"/>
      <c r="D60" s="13"/>
      <c r="E60" s="13"/>
      <c r="F60" s="13"/>
      <c r="G60" s="13"/>
      <c r="H60" s="27"/>
      <c r="I60" s="27"/>
      <c r="J60" s="27"/>
      <c r="K60" s="13"/>
      <c r="L60" s="13"/>
      <c r="M60" s="13"/>
      <c r="N60" s="10" t="s">
        <v>177</v>
      </c>
      <c r="O60" s="10" t="s">
        <v>176</v>
      </c>
      <c r="P60" s="13"/>
      <c r="Q60" s="13"/>
      <c r="R60" s="13"/>
      <c r="S60" s="10" t="s">
        <v>569</v>
      </c>
      <c r="T60" s="18" t="s">
        <v>568</v>
      </c>
      <c r="U60" s="13"/>
      <c r="V60" s="13"/>
      <c r="W60" s="13"/>
      <c r="X60" s="13"/>
      <c r="Y60" s="10"/>
      <c r="Z60" s="12" t="s">
        <v>977</v>
      </c>
      <c r="AA60" s="12" t="s">
        <v>1118</v>
      </c>
      <c r="AB60" s="12"/>
      <c r="AC60" s="12"/>
      <c r="AD60" s="12"/>
    </row>
    <row r="61" spans="1:30" ht="10.5" customHeight="1" x14ac:dyDescent="0.25">
      <c r="A61" s="9">
        <v>60</v>
      </c>
      <c r="B61" s="13"/>
      <c r="C61" s="13"/>
      <c r="D61" s="13"/>
      <c r="E61" s="13"/>
      <c r="F61" s="13"/>
      <c r="G61" s="13"/>
      <c r="H61" s="27"/>
      <c r="I61" s="27"/>
      <c r="J61" s="27"/>
      <c r="K61" s="13"/>
      <c r="L61" s="13"/>
      <c r="M61" s="13"/>
      <c r="N61" s="10" t="s">
        <v>179</v>
      </c>
      <c r="O61" s="10" t="s">
        <v>178</v>
      </c>
      <c r="P61" s="13"/>
      <c r="Q61" s="13"/>
      <c r="R61" s="13"/>
      <c r="S61" s="10" t="s">
        <v>585</v>
      </c>
      <c r="T61" s="18" t="s">
        <v>584</v>
      </c>
      <c r="U61" s="13"/>
      <c r="V61" s="13"/>
      <c r="W61" s="13"/>
      <c r="X61" s="13"/>
      <c r="Y61" s="10"/>
      <c r="Z61" s="12" t="s">
        <v>978</v>
      </c>
      <c r="AA61" s="12" t="s">
        <v>1119</v>
      </c>
      <c r="AB61" s="12"/>
      <c r="AC61" s="12"/>
      <c r="AD61" s="12"/>
    </row>
    <row r="62" spans="1:30" ht="10.5" customHeight="1" x14ac:dyDescent="0.25">
      <c r="A62" s="9">
        <v>61</v>
      </c>
      <c r="B62" s="13"/>
      <c r="C62" s="13"/>
      <c r="D62" s="13"/>
      <c r="E62" s="13"/>
      <c r="F62" s="13"/>
      <c r="G62" s="13"/>
      <c r="H62" s="27"/>
      <c r="I62" s="27"/>
      <c r="J62" s="27"/>
      <c r="K62" s="13"/>
      <c r="L62" s="13"/>
      <c r="M62" s="13"/>
      <c r="N62" s="10" t="s">
        <v>181</v>
      </c>
      <c r="O62" s="10" t="s">
        <v>180</v>
      </c>
      <c r="P62" s="13"/>
      <c r="Q62" s="13"/>
      <c r="R62" s="13"/>
      <c r="S62" s="10" t="s">
        <v>607</v>
      </c>
      <c r="T62" s="18" t="s">
        <v>606</v>
      </c>
      <c r="U62" s="13"/>
      <c r="V62" s="13"/>
      <c r="W62" s="13"/>
      <c r="X62" s="13"/>
      <c r="Y62" s="10"/>
      <c r="Z62" s="12" t="s">
        <v>979</v>
      </c>
      <c r="AA62" s="12" t="s">
        <v>1120</v>
      </c>
      <c r="AB62" s="12"/>
      <c r="AC62" s="12"/>
      <c r="AD62" s="12"/>
    </row>
    <row r="63" spans="1:30" ht="10.5" customHeight="1" x14ac:dyDescent="0.25">
      <c r="A63" s="9">
        <v>62</v>
      </c>
      <c r="B63" s="13"/>
      <c r="C63" s="13"/>
      <c r="D63" s="13"/>
      <c r="E63" s="13"/>
      <c r="F63" s="13"/>
      <c r="G63" s="13"/>
      <c r="H63" s="27"/>
      <c r="I63" s="27"/>
      <c r="J63" s="27"/>
      <c r="K63" s="13"/>
      <c r="L63" s="13"/>
      <c r="M63" s="13"/>
      <c r="N63" s="10" t="s">
        <v>183</v>
      </c>
      <c r="O63" s="10" t="s">
        <v>182</v>
      </c>
      <c r="P63" s="13"/>
      <c r="Q63" s="13"/>
      <c r="R63" s="13"/>
      <c r="S63" s="10" t="s">
        <v>623</v>
      </c>
      <c r="T63" s="18" t="s">
        <v>622</v>
      </c>
      <c r="U63" s="13"/>
      <c r="V63" s="13"/>
      <c r="W63" s="13"/>
      <c r="X63" s="13"/>
      <c r="Y63" s="10"/>
      <c r="Z63" s="12" t="s">
        <v>980</v>
      </c>
      <c r="AA63" s="12" t="s">
        <v>1121</v>
      </c>
      <c r="AB63" s="12"/>
      <c r="AC63" s="12"/>
      <c r="AD63" s="12"/>
    </row>
    <row r="64" spans="1:30" ht="10.5" customHeight="1" x14ac:dyDescent="0.25">
      <c r="A64" s="9">
        <v>63</v>
      </c>
      <c r="B64" s="13"/>
      <c r="C64" s="13"/>
      <c r="D64" s="13"/>
      <c r="E64" s="13"/>
      <c r="F64" s="13"/>
      <c r="G64" s="13"/>
      <c r="H64" s="27"/>
      <c r="I64" s="27"/>
      <c r="J64" s="27"/>
      <c r="K64" s="13"/>
      <c r="L64" s="13"/>
      <c r="M64" s="13"/>
      <c r="N64" s="10" t="s">
        <v>185</v>
      </c>
      <c r="O64" s="10" t="s">
        <v>184</v>
      </c>
      <c r="P64" s="13"/>
      <c r="Q64" s="13"/>
      <c r="R64" s="13"/>
      <c r="S64" s="10" t="s">
        <v>718</v>
      </c>
      <c r="T64" s="18" t="s">
        <v>717</v>
      </c>
      <c r="U64" s="13"/>
      <c r="V64" s="13"/>
      <c r="W64" s="13"/>
      <c r="X64" s="13"/>
      <c r="Y64" s="10"/>
      <c r="Z64" s="12" t="s">
        <v>981</v>
      </c>
      <c r="AA64" s="12" t="s">
        <v>1122</v>
      </c>
      <c r="AB64" s="12"/>
      <c r="AC64" s="12"/>
      <c r="AD64" s="12"/>
    </row>
    <row r="65" spans="1:30" ht="10.5" customHeight="1" x14ac:dyDescent="0.25">
      <c r="A65" s="9">
        <v>64</v>
      </c>
      <c r="B65" s="13"/>
      <c r="C65" s="13"/>
      <c r="D65" s="13"/>
      <c r="E65" s="13"/>
      <c r="F65" s="13"/>
      <c r="G65" s="13"/>
      <c r="H65" s="27"/>
      <c r="I65" s="27"/>
      <c r="J65" s="27"/>
      <c r="K65" s="13"/>
      <c r="L65" s="13"/>
      <c r="M65" s="13"/>
      <c r="N65" s="10" t="s">
        <v>187</v>
      </c>
      <c r="O65" s="10" t="s">
        <v>186</v>
      </c>
      <c r="P65" s="13"/>
      <c r="Q65" s="13"/>
      <c r="R65" s="13"/>
      <c r="S65" s="10" t="s">
        <v>772</v>
      </c>
      <c r="T65" s="18" t="s">
        <v>771</v>
      </c>
      <c r="U65" s="13"/>
      <c r="V65" s="13"/>
      <c r="W65" s="13"/>
      <c r="X65" s="13"/>
      <c r="Y65" s="10"/>
      <c r="Z65" s="12" t="s">
        <v>982</v>
      </c>
      <c r="AA65" s="12" t="s">
        <v>1123</v>
      </c>
      <c r="AB65" s="12"/>
      <c r="AC65" s="12"/>
      <c r="AD65" s="12"/>
    </row>
    <row r="66" spans="1:30" ht="10.5" customHeight="1" x14ac:dyDescent="0.25">
      <c r="A66" s="9">
        <v>65</v>
      </c>
      <c r="B66" s="13"/>
      <c r="C66" s="13"/>
      <c r="D66" s="13"/>
      <c r="E66" s="13"/>
      <c r="F66" s="13"/>
      <c r="G66" s="13"/>
      <c r="H66" s="27"/>
      <c r="I66" s="27"/>
      <c r="J66" s="27"/>
      <c r="K66" s="13"/>
      <c r="L66" s="13"/>
      <c r="M66" s="13"/>
      <c r="N66" s="10" t="s">
        <v>189</v>
      </c>
      <c r="O66" s="10" t="s">
        <v>188</v>
      </c>
      <c r="P66" s="13"/>
      <c r="Q66" s="13"/>
      <c r="R66" s="13"/>
      <c r="S66" s="10" t="s">
        <v>832</v>
      </c>
      <c r="T66" s="18" t="s">
        <v>831</v>
      </c>
      <c r="U66" s="13"/>
      <c r="V66" s="13"/>
      <c r="W66" s="13"/>
      <c r="X66" s="13"/>
      <c r="Y66" s="10"/>
      <c r="Z66" s="12" t="s">
        <v>983</v>
      </c>
      <c r="AA66" s="12" t="s">
        <v>1124</v>
      </c>
      <c r="AB66" s="12"/>
      <c r="AC66" s="12"/>
      <c r="AD66" s="12"/>
    </row>
    <row r="67" spans="1:30" ht="10.5" customHeight="1" x14ac:dyDescent="0.25">
      <c r="A67" s="9">
        <v>66</v>
      </c>
      <c r="B67" s="13"/>
      <c r="C67" s="13"/>
      <c r="D67" s="13"/>
      <c r="E67" s="13"/>
      <c r="F67" s="13"/>
      <c r="G67" s="13"/>
      <c r="H67" s="27"/>
      <c r="I67" s="27"/>
      <c r="J67" s="27"/>
      <c r="K67" s="13"/>
      <c r="L67" s="13"/>
      <c r="M67" s="13"/>
      <c r="N67" s="10" t="s">
        <v>191</v>
      </c>
      <c r="O67" s="10" t="s">
        <v>190</v>
      </c>
      <c r="P67" s="13"/>
      <c r="Q67" s="13"/>
      <c r="R67" s="13"/>
      <c r="S67" s="10" t="s">
        <v>387</v>
      </c>
      <c r="T67" s="18" t="s">
        <v>386</v>
      </c>
      <c r="U67" s="13"/>
      <c r="V67" s="13"/>
      <c r="W67" s="13"/>
      <c r="X67" s="13"/>
      <c r="Y67" s="10"/>
      <c r="Z67" s="12" t="s">
        <v>984</v>
      </c>
      <c r="AA67" s="12" t="s">
        <v>1125</v>
      </c>
      <c r="AB67" s="12"/>
      <c r="AC67" s="12"/>
      <c r="AD67" s="12"/>
    </row>
    <row r="68" spans="1:30" ht="10.5" customHeight="1" x14ac:dyDescent="0.25">
      <c r="A68" s="9">
        <v>67</v>
      </c>
      <c r="B68" s="13"/>
      <c r="C68" s="13"/>
      <c r="D68" s="13"/>
      <c r="E68" s="13"/>
      <c r="F68" s="13"/>
      <c r="G68" s="13"/>
      <c r="H68" s="27"/>
      <c r="I68" s="27"/>
      <c r="J68" s="27"/>
      <c r="K68" s="13"/>
      <c r="L68" s="13"/>
      <c r="M68" s="13"/>
      <c r="N68" s="10" t="s">
        <v>193</v>
      </c>
      <c r="O68" s="10" t="s">
        <v>192</v>
      </c>
      <c r="P68" s="13"/>
      <c r="Q68" s="13"/>
      <c r="R68" s="13"/>
      <c r="S68" s="10" t="s">
        <v>393</v>
      </c>
      <c r="T68" s="18" t="s">
        <v>392</v>
      </c>
      <c r="U68" s="13"/>
      <c r="V68" s="13"/>
      <c r="W68" s="13"/>
      <c r="X68" s="13"/>
      <c r="Y68" s="10"/>
      <c r="Z68" s="12" t="s">
        <v>985</v>
      </c>
      <c r="AA68" s="12" t="s">
        <v>1126</v>
      </c>
      <c r="AB68" s="12"/>
      <c r="AC68" s="12"/>
      <c r="AD68" s="12"/>
    </row>
    <row r="69" spans="1:30" ht="10.5" customHeight="1" x14ac:dyDescent="0.25">
      <c r="A69" s="9">
        <v>68</v>
      </c>
      <c r="B69" s="13"/>
      <c r="C69" s="13"/>
      <c r="D69" s="13"/>
      <c r="E69" s="13"/>
      <c r="F69" s="13"/>
      <c r="G69" s="13"/>
      <c r="H69" s="27"/>
      <c r="I69" s="27"/>
      <c r="J69" s="27"/>
      <c r="K69" s="13"/>
      <c r="L69" s="13"/>
      <c r="M69" s="13"/>
      <c r="N69" s="10" t="s">
        <v>195</v>
      </c>
      <c r="O69" s="10" t="s">
        <v>194</v>
      </c>
      <c r="P69" s="13"/>
      <c r="Q69" s="13"/>
      <c r="R69" s="13"/>
      <c r="S69" s="10" t="s">
        <v>429</v>
      </c>
      <c r="T69" s="18" t="s">
        <v>428</v>
      </c>
      <c r="U69" s="13"/>
      <c r="V69" s="13"/>
      <c r="W69" s="13"/>
      <c r="X69" s="13"/>
      <c r="Y69" s="10"/>
      <c r="Z69" s="12" t="s">
        <v>986</v>
      </c>
      <c r="AA69" s="12" t="s">
        <v>1127</v>
      </c>
      <c r="AB69" s="12"/>
      <c r="AC69" s="12"/>
      <c r="AD69" s="12"/>
    </row>
    <row r="70" spans="1:30" ht="10.5" customHeight="1" x14ac:dyDescent="0.25">
      <c r="A70" s="9">
        <v>69</v>
      </c>
      <c r="B70" s="13"/>
      <c r="C70" s="13"/>
      <c r="D70" s="13"/>
      <c r="E70" s="13"/>
      <c r="F70" s="13"/>
      <c r="G70" s="13"/>
      <c r="H70" s="27"/>
      <c r="I70" s="27"/>
      <c r="J70" s="27"/>
      <c r="K70" s="13"/>
      <c r="L70" s="13"/>
      <c r="M70" s="13"/>
      <c r="N70" s="10" t="s">
        <v>197</v>
      </c>
      <c r="O70" s="10" t="s">
        <v>196</v>
      </c>
      <c r="P70" s="13"/>
      <c r="Q70" s="13"/>
      <c r="R70" s="13"/>
      <c r="S70" s="10" t="s">
        <v>435</v>
      </c>
      <c r="T70" s="18" t="s">
        <v>434</v>
      </c>
      <c r="U70" s="13"/>
      <c r="V70" s="13"/>
      <c r="W70" s="13"/>
      <c r="X70" s="13"/>
      <c r="Y70" s="10"/>
      <c r="Z70" s="12" t="s">
        <v>987</v>
      </c>
      <c r="AA70" s="12" t="s">
        <v>1128</v>
      </c>
      <c r="AB70" s="12"/>
      <c r="AC70" s="12"/>
      <c r="AD70" s="12"/>
    </row>
    <row r="71" spans="1:30" ht="10.5" customHeight="1" x14ac:dyDescent="0.25">
      <c r="A71" s="9">
        <v>70</v>
      </c>
      <c r="B71" s="13"/>
      <c r="C71" s="13"/>
      <c r="D71" s="13"/>
      <c r="E71" s="13"/>
      <c r="F71" s="13"/>
      <c r="G71" s="13"/>
      <c r="H71" s="27"/>
      <c r="I71" s="27"/>
      <c r="J71" s="27"/>
      <c r="K71" s="13"/>
      <c r="L71" s="13"/>
      <c r="M71" s="13"/>
      <c r="N71" s="10" t="s">
        <v>199</v>
      </c>
      <c r="O71" s="10" t="s">
        <v>198</v>
      </c>
      <c r="P71" s="13"/>
      <c r="Q71" s="13"/>
      <c r="R71" s="13"/>
      <c r="S71" s="10" t="s">
        <v>445</v>
      </c>
      <c r="T71" s="18" t="s">
        <v>444</v>
      </c>
      <c r="U71" s="13"/>
      <c r="V71" s="13"/>
      <c r="W71" s="13"/>
      <c r="X71" s="13"/>
      <c r="Y71" s="10"/>
      <c r="Z71" s="12" t="s">
        <v>988</v>
      </c>
      <c r="AA71" s="12" t="s">
        <v>1129</v>
      </c>
      <c r="AB71" s="12"/>
      <c r="AC71" s="12"/>
      <c r="AD71" s="12"/>
    </row>
    <row r="72" spans="1:30" ht="10.5" customHeight="1" x14ac:dyDescent="0.25">
      <c r="A72" s="9">
        <v>71</v>
      </c>
      <c r="B72" s="13"/>
      <c r="C72" s="13"/>
      <c r="D72" s="13"/>
      <c r="E72" s="13"/>
      <c r="F72" s="13"/>
      <c r="G72" s="13"/>
      <c r="H72" s="27"/>
      <c r="I72" s="27"/>
      <c r="J72" s="27"/>
      <c r="K72" s="13"/>
      <c r="L72" s="13"/>
      <c r="M72" s="13"/>
      <c r="N72" s="10" t="s">
        <v>201</v>
      </c>
      <c r="O72" s="10" t="s">
        <v>200</v>
      </c>
      <c r="P72" s="13"/>
      <c r="Q72" s="13"/>
      <c r="R72" s="13"/>
      <c r="S72" s="10" t="s">
        <v>468</v>
      </c>
      <c r="T72" s="18" t="s">
        <v>467</v>
      </c>
      <c r="U72" s="13"/>
      <c r="V72" s="13"/>
      <c r="W72" s="13"/>
      <c r="X72" s="13"/>
      <c r="Y72" s="10"/>
      <c r="Z72" s="12" t="s">
        <v>989</v>
      </c>
      <c r="AA72" s="12" t="s">
        <v>1130</v>
      </c>
      <c r="AB72" s="12"/>
      <c r="AC72" s="12"/>
      <c r="AD72" s="12"/>
    </row>
    <row r="73" spans="1:30" ht="10.5" customHeight="1" x14ac:dyDescent="0.25">
      <c r="A73" s="9">
        <v>72</v>
      </c>
      <c r="B73" s="13"/>
      <c r="C73" s="13"/>
      <c r="D73" s="13"/>
      <c r="E73" s="13"/>
      <c r="F73" s="13"/>
      <c r="G73" s="13"/>
      <c r="H73" s="13"/>
      <c r="I73" s="13"/>
      <c r="J73" s="13"/>
      <c r="K73" s="13"/>
      <c r="L73" s="13"/>
      <c r="M73" s="13"/>
      <c r="N73" s="10" t="s">
        <v>203</v>
      </c>
      <c r="O73" s="10" t="s">
        <v>202</v>
      </c>
      <c r="P73" s="13"/>
      <c r="Q73" s="13"/>
      <c r="R73" s="13"/>
      <c r="S73" s="10" t="s">
        <v>478</v>
      </c>
      <c r="T73" s="18" t="s">
        <v>477</v>
      </c>
      <c r="U73" s="13"/>
      <c r="V73" s="13"/>
      <c r="W73" s="13"/>
      <c r="X73" s="13"/>
      <c r="Y73" s="10"/>
      <c r="Z73" s="12" t="s">
        <v>990</v>
      </c>
      <c r="AA73" s="12" t="s">
        <v>1131</v>
      </c>
      <c r="AB73" s="12"/>
      <c r="AC73" s="12"/>
      <c r="AD73" s="12"/>
    </row>
    <row r="74" spans="1:30" ht="10.5" customHeight="1" x14ac:dyDescent="0.25">
      <c r="A74" s="9">
        <v>73</v>
      </c>
      <c r="B74" s="13"/>
      <c r="C74" s="13"/>
      <c r="D74" s="13"/>
      <c r="E74" s="13"/>
      <c r="F74" s="13"/>
      <c r="G74" s="13"/>
      <c r="H74" s="13"/>
      <c r="I74" s="13"/>
      <c r="J74" s="13"/>
      <c r="K74" s="13"/>
      <c r="L74" s="13"/>
      <c r="M74" s="13"/>
      <c r="N74" s="10" t="s">
        <v>204</v>
      </c>
      <c r="O74" s="10" t="s">
        <v>25</v>
      </c>
      <c r="P74" s="13"/>
      <c r="Q74" s="13"/>
      <c r="R74" s="13"/>
      <c r="S74" s="10" t="s">
        <v>509</v>
      </c>
      <c r="T74" s="18" t="s">
        <v>508</v>
      </c>
      <c r="U74" s="13"/>
      <c r="V74" s="13"/>
      <c r="W74" s="13"/>
      <c r="X74" s="13"/>
      <c r="Y74" s="10"/>
      <c r="Z74" s="10" t="s">
        <v>991</v>
      </c>
      <c r="AA74" s="10" t="s">
        <v>1132</v>
      </c>
      <c r="AB74" s="10"/>
      <c r="AC74" s="10"/>
      <c r="AD74" s="10"/>
    </row>
    <row r="75" spans="1:30" ht="10.5" customHeight="1" x14ac:dyDescent="0.25">
      <c r="A75" s="9">
        <v>74</v>
      </c>
      <c r="B75" s="13"/>
      <c r="C75" s="13"/>
      <c r="D75" s="13"/>
      <c r="E75" s="13"/>
      <c r="F75" s="13"/>
      <c r="G75" s="13"/>
      <c r="H75" s="13"/>
      <c r="I75" s="13"/>
      <c r="J75" s="13"/>
      <c r="K75" s="13"/>
      <c r="L75" s="13"/>
      <c r="M75" s="13"/>
      <c r="N75" s="10" t="s">
        <v>205</v>
      </c>
      <c r="O75" s="10" t="s">
        <v>27</v>
      </c>
      <c r="P75" s="13"/>
      <c r="Q75" s="13"/>
      <c r="R75" s="13"/>
      <c r="S75" s="10" t="s">
        <v>589</v>
      </c>
      <c r="T75" s="18" t="s">
        <v>588</v>
      </c>
      <c r="U75" s="13"/>
      <c r="V75" s="13"/>
      <c r="W75" s="13"/>
      <c r="X75" s="13"/>
      <c r="Y75" s="10"/>
      <c r="Z75" s="10" t="s">
        <v>992</v>
      </c>
      <c r="AA75" s="10" t="s">
        <v>1133</v>
      </c>
      <c r="AB75" s="10"/>
      <c r="AC75" s="10"/>
      <c r="AD75" s="10"/>
    </row>
    <row r="76" spans="1:30" ht="10.5" customHeight="1" x14ac:dyDescent="0.25">
      <c r="A76" s="9">
        <v>75</v>
      </c>
      <c r="B76" s="13"/>
      <c r="C76" s="13"/>
      <c r="D76" s="13"/>
      <c r="E76" s="13"/>
      <c r="F76" s="13"/>
      <c r="G76" s="13"/>
      <c r="H76" s="13"/>
      <c r="I76" s="13"/>
      <c r="J76" s="13"/>
      <c r="K76" s="13"/>
      <c r="L76" s="13"/>
      <c r="M76" s="13"/>
      <c r="N76" s="10" t="s">
        <v>206</v>
      </c>
      <c r="O76" s="10" t="s">
        <v>29</v>
      </c>
      <c r="P76" s="13"/>
      <c r="Q76" s="13"/>
      <c r="R76" s="13"/>
      <c r="S76" s="10" t="s">
        <v>625</v>
      </c>
      <c r="T76" s="18" t="s">
        <v>624</v>
      </c>
      <c r="U76" s="13"/>
      <c r="V76" s="13"/>
      <c r="W76" s="13"/>
      <c r="X76" s="13"/>
      <c r="Y76" s="10"/>
      <c r="Z76" s="10" t="s">
        <v>993</v>
      </c>
      <c r="AA76" s="10" t="s">
        <v>1134</v>
      </c>
      <c r="AB76" s="10"/>
      <c r="AC76" s="10"/>
      <c r="AD76" s="10"/>
    </row>
    <row r="77" spans="1:30" ht="10.5" customHeight="1" x14ac:dyDescent="0.25">
      <c r="A77" s="9">
        <v>76</v>
      </c>
      <c r="B77" s="13"/>
      <c r="C77" s="13"/>
      <c r="D77" s="13"/>
      <c r="E77" s="13"/>
      <c r="F77" s="13"/>
      <c r="G77" s="13"/>
      <c r="H77" s="13"/>
      <c r="I77" s="13"/>
      <c r="J77" s="13"/>
      <c r="K77" s="13"/>
      <c r="L77" s="13"/>
      <c r="M77" s="13"/>
      <c r="N77" s="10" t="s">
        <v>208</v>
      </c>
      <c r="O77" s="10" t="s">
        <v>207</v>
      </c>
      <c r="P77" s="13"/>
      <c r="Q77" s="13"/>
      <c r="R77" s="13"/>
      <c r="S77" s="10" t="s">
        <v>627</v>
      </c>
      <c r="T77" s="18" t="s">
        <v>626</v>
      </c>
      <c r="U77" s="13"/>
      <c r="V77" s="13"/>
      <c r="W77" s="13"/>
      <c r="X77" s="13"/>
      <c r="Y77" s="10"/>
      <c r="Z77" s="10" t="s">
        <v>994</v>
      </c>
      <c r="AA77" s="10" t="s">
        <v>1135</v>
      </c>
      <c r="AB77" s="10"/>
      <c r="AC77" s="10"/>
      <c r="AD77" s="10"/>
    </row>
    <row r="78" spans="1:30" ht="10.5" customHeight="1" x14ac:dyDescent="0.25">
      <c r="A78" s="9">
        <v>77</v>
      </c>
      <c r="B78" s="13"/>
      <c r="C78" s="13"/>
      <c r="D78" s="13"/>
      <c r="E78" s="13"/>
      <c r="F78" s="13"/>
      <c r="G78" s="13"/>
      <c r="H78" s="13"/>
      <c r="I78" s="13"/>
      <c r="J78" s="13"/>
      <c r="K78" s="13"/>
      <c r="L78" s="13"/>
      <c r="M78" s="13"/>
      <c r="N78" s="10" t="s">
        <v>209</v>
      </c>
      <c r="O78" s="10" t="s">
        <v>28</v>
      </c>
      <c r="P78" s="13"/>
      <c r="Q78" s="13"/>
      <c r="R78" s="13"/>
      <c r="S78" s="10" t="s">
        <v>641</v>
      </c>
      <c r="T78" s="18" t="s">
        <v>640</v>
      </c>
      <c r="U78" s="13"/>
      <c r="V78" s="13"/>
      <c r="W78" s="13"/>
      <c r="X78" s="13"/>
      <c r="Y78" s="10"/>
      <c r="Z78" s="10" t="s">
        <v>995</v>
      </c>
      <c r="AA78" s="10" t="s">
        <v>1136</v>
      </c>
      <c r="AB78" s="10"/>
      <c r="AC78" s="10"/>
      <c r="AD78" s="10"/>
    </row>
    <row r="79" spans="1:30" ht="10.5" customHeight="1" x14ac:dyDescent="0.25">
      <c r="A79" s="9">
        <v>78</v>
      </c>
      <c r="B79" s="13"/>
      <c r="C79" s="13"/>
      <c r="D79" s="13"/>
      <c r="E79" s="13"/>
      <c r="F79" s="13"/>
      <c r="G79" s="13"/>
      <c r="H79" s="13"/>
      <c r="I79" s="13"/>
      <c r="J79" s="13"/>
      <c r="K79" s="13"/>
      <c r="L79" s="13"/>
      <c r="M79" s="13"/>
      <c r="N79" s="10" t="s">
        <v>211</v>
      </c>
      <c r="O79" s="10" t="s">
        <v>210</v>
      </c>
      <c r="P79" s="13"/>
      <c r="Q79" s="13"/>
      <c r="R79" s="13"/>
      <c r="S79" s="10" t="s">
        <v>684</v>
      </c>
      <c r="T79" s="18" t="s">
        <v>683</v>
      </c>
      <c r="U79" s="13"/>
      <c r="V79" s="13"/>
      <c r="W79" s="13"/>
      <c r="X79" s="13"/>
      <c r="Y79" s="10"/>
      <c r="Z79" s="10" t="s">
        <v>996</v>
      </c>
      <c r="AA79" s="10" t="s">
        <v>1137</v>
      </c>
      <c r="AB79" s="10"/>
      <c r="AC79" s="10"/>
      <c r="AD79" s="10"/>
    </row>
    <row r="80" spans="1:30" ht="10.5" customHeight="1" x14ac:dyDescent="0.25">
      <c r="A80" s="9">
        <v>79</v>
      </c>
      <c r="B80" s="13"/>
      <c r="C80" s="13"/>
      <c r="D80" s="13"/>
      <c r="E80" s="13"/>
      <c r="F80" s="13"/>
      <c r="G80" s="13"/>
      <c r="H80" s="13"/>
      <c r="I80" s="13"/>
      <c r="J80" s="13"/>
      <c r="K80" s="13"/>
      <c r="L80" s="13"/>
      <c r="M80" s="13"/>
      <c r="N80" s="10" t="s">
        <v>213</v>
      </c>
      <c r="O80" s="10" t="s">
        <v>212</v>
      </c>
      <c r="P80" s="13"/>
      <c r="Q80" s="13"/>
      <c r="R80" s="13"/>
      <c r="S80" s="10" t="s">
        <v>690</v>
      </c>
      <c r="T80" s="18" t="s">
        <v>689</v>
      </c>
      <c r="U80" s="13"/>
      <c r="V80" s="13"/>
      <c r="W80" s="13"/>
      <c r="X80" s="13"/>
      <c r="Y80" s="10"/>
      <c r="Z80" s="10" t="s">
        <v>997</v>
      </c>
      <c r="AA80" s="10" t="s">
        <v>1138</v>
      </c>
      <c r="AB80" s="10"/>
      <c r="AC80" s="10"/>
      <c r="AD80" s="10"/>
    </row>
    <row r="81" spans="1:30" ht="10.5" customHeight="1" x14ac:dyDescent="0.25">
      <c r="A81" s="9">
        <v>80</v>
      </c>
      <c r="B81" s="13"/>
      <c r="C81" s="13"/>
      <c r="D81" s="13"/>
      <c r="E81" s="13"/>
      <c r="F81" s="13"/>
      <c r="G81" s="13"/>
      <c r="H81" s="13"/>
      <c r="I81" s="13"/>
      <c r="J81" s="13"/>
      <c r="K81" s="13"/>
      <c r="L81" s="13"/>
      <c r="M81" s="13"/>
      <c r="N81" s="10" t="s">
        <v>215</v>
      </c>
      <c r="O81" s="10" t="s">
        <v>214</v>
      </c>
      <c r="P81" s="13"/>
      <c r="Q81" s="13"/>
      <c r="R81" s="13"/>
      <c r="S81" s="10" t="s">
        <v>762</v>
      </c>
      <c r="T81" s="18" t="s">
        <v>761</v>
      </c>
      <c r="U81" s="13"/>
      <c r="V81" s="13"/>
      <c r="W81" s="13"/>
      <c r="X81" s="13"/>
      <c r="Y81" s="10"/>
      <c r="Z81" s="10" t="s">
        <v>998</v>
      </c>
      <c r="AA81" s="10" t="s">
        <v>1139</v>
      </c>
      <c r="AB81" s="10"/>
      <c r="AC81" s="10"/>
      <c r="AD81" s="10"/>
    </row>
    <row r="82" spans="1:30" ht="10.5" customHeight="1" x14ac:dyDescent="0.25">
      <c r="A82" s="9">
        <v>81</v>
      </c>
      <c r="B82" s="13"/>
      <c r="C82" s="13"/>
      <c r="D82" s="13"/>
      <c r="E82" s="13"/>
      <c r="F82" s="13"/>
      <c r="G82" s="13"/>
      <c r="H82" s="13"/>
      <c r="I82" s="13"/>
      <c r="J82" s="13"/>
      <c r="K82" s="13"/>
      <c r="L82" s="13"/>
      <c r="M82" s="13"/>
      <c r="N82" s="10" t="s">
        <v>217</v>
      </c>
      <c r="O82" s="10" t="s">
        <v>216</v>
      </c>
      <c r="P82" s="13"/>
      <c r="Q82" s="13"/>
      <c r="R82" s="13"/>
      <c r="S82" s="10" t="s">
        <v>854</v>
      </c>
      <c r="T82" s="18" t="s">
        <v>853</v>
      </c>
      <c r="U82" s="13"/>
      <c r="V82" s="13"/>
      <c r="W82" s="13"/>
      <c r="X82" s="13"/>
      <c r="Y82" s="10"/>
      <c r="Z82" s="10" t="s">
        <v>999</v>
      </c>
      <c r="AA82" s="10" t="s">
        <v>1140</v>
      </c>
      <c r="AB82" s="10"/>
      <c r="AC82" s="10"/>
      <c r="AD82" s="10"/>
    </row>
    <row r="83" spans="1:30" ht="10.5" customHeight="1" x14ac:dyDescent="0.25">
      <c r="A83" s="9">
        <v>82</v>
      </c>
      <c r="B83" s="13"/>
      <c r="C83" s="13"/>
      <c r="D83" s="13"/>
      <c r="E83" s="13"/>
      <c r="F83" s="13"/>
      <c r="G83" s="13"/>
      <c r="H83" s="13"/>
      <c r="I83" s="13"/>
      <c r="J83" s="13"/>
      <c r="K83" s="13"/>
      <c r="L83" s="13"/>
      <c r="M83" s="13"/>
      <c r="N83" s="10" t="s">
        <v>219</v>
      </c>
      <c r="O83" s="10" t="s">
        <v>218</v>
      </c>
      <c r="P83" s="13"/>
      <c r="Q83" s="13"/>
      <c r="R83" s="13"/>
      <c r="S83" s="10" t="s">
        <v>870</v>
      </c>
      <c r="T83" s="18" t="s">
        <v>869</v>
      </c>
      <c r="U83" s="13"/>
      <c r="V83" s="13"/>
      <c r="W83" s="13"/>
      <c r="X83" s="13"/>
      <c r="Y83" s="10"/>
      <c r="Z83" s="10" t="s">
        <v>1000</v>
      </c>
      <c r="AA83" s="10" t="s">
        <v>1141</v>
      </c>
      <c r="AB83" s="10"/>
      <c r="AC83" s="10"/>
      <c r="AD83" s="10"/>
    </row>
    <row r="84" spans="1:30" ht="10.5" customHeight="1" x14ac:dyDescent="0.25">
      <c r="A84" s="9">
        <v>83</v>
      </c>
      <c r="B84" s="13"/>
      <c r="C84" s="13"/>
      <c r="D84" s="13"/>
      <c r="E84" s="13"/>
      <c r="F84" s="13"/>
      <c r="G84" s="13"/>
      <c r="H84" s="13"/>
      <c r="I84" s="13"/>
      <c r="J84" s="13"/>
      <c r="K84" s="13"/>
      <c r="L84" s="13"/>
      <c r="M84" s="13"/>
      <c r="N84" s="10" t="s">
        <v>221</v>
      </c>
      <c r="O84" s="10" t="s">
        <v>220</v>
      </c>
      <c r="P84" s="13"/>
      <c r="Q84" s="13"/>
      <c r="R84" s="13"/>
      <c r="S84" s="10" t="s">
        <v>389</v>
      </c>
      <c r="T84" s="18" t="s">
        <v>388</v>
      </c>
      <c r="U84" s="13"/>
      <c r="V84" s="13"/>
      <c r="W84" s="13"/>
      <c r="X84" s="13"/>
      <c r="Y84" s="10"/>
      <c r="Z84" s="10" t="s">
        <v>1001</v>
      </c>
      <c r="AA84" s="10" t="s">
        <v>1142</v>
      </c>
      <c r="AB84" s="10"/>
      <c r="AC84" s="10"/>
      <c r="AD84" s="10"/>
    </row>
    <row r="85" spans="1:30" ht="10.5" customHeight="1" x14ac:dyDescent="0.25">
      <c r="A85" s="9">
        <v>84</v>
      </c>
      <c r="B85" s="13"/>
      <c r="C85" s="13"/>
      <c r="D85" s="13"/>
      <c r="E85" s="13"/>
      <c r="F85" s="13"/>
      <c r="G85" s="13"/>
      <c r="H85" s="13"/>
      <c r="I85" s="13"/>
      <c r="J85" s="13"/>
      <c r="K85" s="13"/>
      <c r="L85" s="13"/>
      <c r="M85" s="13"/>
      <c r="N85" s="10" t="s">
        <v>224</v>
      </c>
      <c r="O85" s="10" t="s">
        <v>223</v>
      </c>
      <c r="P85" s="13"/>
      <c r="Q85" s="13"/>
      <c r="R85" s="13"/>
      <c r="S85" s="10" t="s">
        <v>391</v>
      </c>
      <c r="T85" s="18" t="s">
        <v>390</v>
      </c>
      <c r="U85" s="13"/>
      <c r="V85" s="13"/>
      <c r="W85" s="13"/>
      <c r="X85" s="13"/>
      <c r="Y85" s="10"/>
      <c r="Z85" s="10" t="s">
        <v>1002</v>
      </c>
      <c r="AA85" s="10" t="s">
        <v>1143</v>
      </c>
      <c r="AB85" s="10"/>
      <c r="AC85" s="10"/>
      <c r="AD85" s="10"/>
    </row>
    <row r="86" spans="1:30" ht="10.5" customHeight="1" x14ac:dyDescent="0.25">
      <c r="A86" s="9">
        <v>85</v>
      </c>
      <c r="B86" s="13"/>
      <c r="C86" s="13"/>
      <c r="D86" s="13"/>
      <c r="E86" s="13"/>
      <c r="F86" s="13"/>
      <c r="G86" s="13"/>
      <c r="H86" s="13"/>
      <c r="I86" s="13"/>
      <c r="J86" s="13"/>
      <c r="K86" s="13"/>
      <c r="L86" s="13"/>
      <c r="M86" s="13"/>
      <c r="N86" s="10" t="s">
        <v>226</v>
      </c>
      <c r="O86" s="10" t="s">
        <v>225</v>
      </c>
      <c r="P86" s="13"/>
      <c r="Q86" s="13"/>
      <c r="R86" s="13"/>
      <c r="S86" s="10" t="s">
        <v>397</v>
      </c>
      <c r="T86" s="18" t="s">
        <v>396</v>
      </c>
      <c r="U86" s="13"/>
      <c r="V86" s="13"/>
      <c r="W86" s="13"/>
      <c r="X86" s="13"/>
      <c r="Y86" s="10"/>
      <c r="Z86" s="10" t="s">
        <v>1003</v>
      </c>
      <c r="AA86" s="10" t="s">
        <v>1144</v>
      </c>
      <c r="AB86" s="10"/>
      <c r="AC86" s="10"/>
      <c r="AD86" s="10"/>
    </row>
    <row r="87" spans="1:30" ht="10.5" customHeight="1" x14ac:dyDescent="0.25">
      <c r="A87" s="9">
        <v>86</v>
      </c>
      <c r="B87" s="13"/>
      <c r="C87" s="13"/>
      <c r="D87" s="13"/>
      <c r="E87" s="13"/>
      <c r="F87" s="13"/>
      <c r="G87" s="13"/>
      <c r="H87" s="13"/>
      <c r="I87" s="13"/>
      <c r="J87" s="13"/>
      <c r="K87" s="13"/>
      <c r="L87" s="13"/>
      <c r="M87" s="13"/>
      <c r="N87" s="10" t="s">
        <v>228</v>
      </c>
      <c r="O87" s="10" t="s">
        <v>227</v>
      </c>
      <c r="P87" s="13"/>
      <c r="Q87" s="13"/>
      <c r="R87" s="13"/>
      <c r="S87" s="10" t="s">
        <v>399</v>
      </c>
      <c r="T87" s="18" t="s">
        <v>398</v>
      </c>
      <c r="U87" s="13"/>
      <c r="V87" s="13"/>
      <c r="W87" s="13"/>
      <c r="X87" s="13"/>
      <c r="Y87" s="10"/>
      <c r="Z87" s="10" t="s">
        <v>1004</v>
      </c>
      <c r="AA87" s="10" t="s">
        <v>1145</v>
      </c>
      <c r="AB87" s="10"/>
      <c r="AC87" s="10"/>
      <c r="AD87" s="10"/>
    </row>
    <row r="88" spans="1:30" ht="10.5" customHeight="1" x14ac:dyDescent="0.25">
      <c r="A88" s="9">
        <v>87</v>
      </c>
      <c r="B88" s="13"/>
      <c r="C88" s="13"/>
      <c r="D88" s="13"/>
      <c r="E88" s="13"/>
      <c r="F88" s="13"/>
      <c r="G88" s="13"/>
      <c r="H88" s="13"/>
      <c r="I88" s="13"/>
      <c r="J88" s="13"/>
      <c r="K88" s="13"/>
      <c r="L88" s="13"/>
      <c r="M88" s="13"/>
      <c r="N88" s="10" t="s">
        <v>230</v>
      </c>
      <c r="O88" s="10" t="s">
        <v>229</v>
      </c>
      <c r="P88" s="13"/>
      <c r="Q88" s="13"/>
      <c r="R88" s="13"/>
      <c r="S88" s="10" t="s">
        <v>401</v>
      </c>
      <c r="T88" s="18" t="s">
        <v>400</v>
      </c>
      <c r="U88" s="13"/>
      <c r="V88" s="13"/>
      <c r="W88" s="13"/>
      <c r="X88" s="13"/>
      <c r="Y88" s="10"/>
      <c r="Z88" s="10" t="s">
        <v>1005</v>
      </c>
      <c r="AA88" s="10" t="s">
        <v>1146</v>
      </c>
      <c r="AB88" s="10"/>
      <c r="AC88" s="10"/>
      <c r="AD88" s="10"/>
    </row>
    <row r="89" spans="1:30" ht="10.5" customHeight="1" x14ac:dyDescent="0.25">
      <c r="A89" s="9">
        <v>88</v>
      </c>
      <c r="B89" s="13"/>
      <c r="C89" s="13"/>
      <c r="D89" s="13"/>
      <c r="E89" s="13"/>
      <c r="F89" s="13"/>
      <c r="G89" s="13"/>
      <c r="H89" s="13"/>
      <c r="I89" s="13"/>
      <c r="J89" s="13"/>
      <c r="K89" s="13"/>
      <c r="L89" s="13"/>
      <c r="M89" s="13"/>
      <c r="N89" s="10" t="s">
        <v>232</v>
      </c>
      <c r="O89" s="10" t="s">
        <v>231</v>
      </c>
      <c r="P89" s="13"/>
      <c r="Q89" s="13"/>
      <c r="R89" s="13"/>
      <c r="S89" s="10" t="s">
        <v>403</v>
      </c>
      <c r="T89" s="18" t="s">
        <v>402</v>
      </c>
      <c r="U89" s="13"/>
      <c r="V89" s="13"/>
      <c r="W89" s="13"/>
      <c r="X89" s="13"/>
      <c r="Y89" s="10"/>
      <c r="Z89" s="10" t="s">
        <v>1006</v>
      </c>
      <c r="AA89" s="10" t="s">
        <v>1147</v>
      </c>
      <c r="AB89" s="10"/>
      <c r="AC89" s="10"/>
      <c r="AD89" s="10"/>
    </row>
    <row r="90" spans="1:30" ht="10.5" customHeight="1" x14ac:dyDescent="0.25">
      <c r="A90" s="9">
        <v>89</v>
      </c>
      <c r="B90" s="13"/>
      <c r="C90" s="13"/>
      <c r="D90" s="13"/>
      <c r="E90" s="13"/>
      <c r="F90" s="13"/>
      <c r="G90" s="13"/>
      <c r="H90" s="13"/>
      <c r="I90" s="13"/>
      <c r="J90" s="13"/>
      <c r="K90" s="13"/>
      <c r="L90" s="13"/>
      <c r="M90" s="13"/>
      <c r="N90" s="10" t="s">
        <v>233</v>
      </c>
      <c r="O90" s="10" t="s">
        <v>31</v>
      </c>
      <c r="P90" s="13"/>
      <c r="Q90" s="13"/>
      <c r="R90" s="13"/>
      <c r="S90" s="10" t="s">
        <v>405</v>
      </c>
      <c r="T90" s="18" t="s">
        <v>404</v>
      </c>
      <c r="U90" s="13"/>
      <c r="V90" s="13"/>
      <c r="W90" s="13"/>
      <c r="X90" s="13"/>
      <c r="Y90" s="10"/>
      <c r="Z90" s="10" t="s">
        <v>1007</v>
      </c>
      <c r="AA90" s="10" t="s">
        <v>1148</v>
      </c>
      <c r="AB90" s="10"/>
      <c r="AC90" s="10"/>
      <c r="AD90" s="10"/>
    </row>
    <row r="91" spans="1:30" ht="10.5" customHeight="1" x14ac:dyDescent="0.25">
      <c r="A91" s="9">
        <v>90</v>
      </c>
      <c r="B91" s="13"/>
      <c r="C91" s="13"/>
      <c r="D91" s="13"/>
      <c r="E91" s="13"/>
      <c r="F91" s="13"/>
      <c r="G91" s="13"/>
      <c r="H91" s="13"/>
      <c r="I91" s="13"/>
      <c r="J91" s="13"/>
      <c r="K91" s="13"/>
      <c r="L91" s="13"/>
      <c r="M91" s="13"/>
      <c r="N91" s="10" t="s">
        <v>235</v>
      </c>
      <c r="O91" s="10" t="s">
        <v>234</v>
      </c>
      <c r="P91" s="13"/>
      <c r="Q91" s="13"/>
      <c r="R91" s="13"/>
      <c r="S91" s="10" t="s">
        <v>411</v>
      </c>
      <c r="T91" s="18" t="s">
        <v>410</v>
      </c>
      <c r="U91" s="13"/>
      <c r="V91" s="13"/>
      <c r="W91" s="13"/>
      <c r="X91" s="13"/>
      <c r="Y91" s="10"/>
      <c r="Z91" s="10" t="s">
        <v>1008</v>
      </c>
      <c r="AA91" s="10" t="s">
        <v>1149</v>
      </c>
      <c r="AB91" s="10"/>
      <c r="AC91" s="10"/>
      <c r="AD91" s="10"/>
    </row>
    <row r="92" spans="1:30" ht="10.5" customHeight="1" x14ac:dyDescent="0.25">
      <c r="A92" s="9">
        <v>91</v>
      </c>
      <c r="B92" s="13"/>
      <c r="C92" s="13"/>
      <c r="D92" s="13"/>
      <c r="E92" s="13"/>
      <c r="F92" s="13"/>
      <c r="G92" s="13"/>
      <c r="H92" s="13"/>
      <c r="I92" s="13"/>
      <c r="J92" s="13"/>
      <c r="K92" s="13"/>
      <c r="L92" s="13"/>
      <c r="M92" s="13"/>
      <c r="N92" s="10" t="s">
        <v>237</v>
      </c>
      <c r="O92" s="10" t="s">
        <v>236</v>
      </c>
      <c r="P92" s="13"/>
      <c r="Q92" s="13"/>
      <c r="R92" s="13"/>
      <c r="S92" s="10" t="s">
        <v>419</v>
      </c>
      <c r="T92" s="18" t="s">
        <v>418</v>
      </c>
      <c r="U92" s="13"/>
      <c r="V92" s="13"/>
      <c r="W92" s="13"/>
      <c r="X92" s="13"/>
      <c r="Y92" s="10"/>
      <c r="Z92" s="10" t="s">
        <v>1009</v>
      </c>
      <c r="AA92" s="10" t="s">
        <v>1150</v>
      </c>
      <c r="AB92" s="10"/>
      <c r="AC92" s="10"/>
      <c r="AD92" s="10"/>
    </row>
    <row r="93" spans="1:30" ht="10.5" customHeight="1" x14ac:dyDescent="0.25">
      <c r="A93" s="9">
        <v>92</v>
      </c>
      <c r="B93" s="13"/>
      <c r="C93" s="13"/>
      <c r="D93" s="13"/>
      <c r="E93" s="13"/>
      <c r="F93" s="13"/>
      <c r="G93" s="13"/>
      <c r="H93" s="13"/>
      <c r="I93" s="13"/>
      <c r="J93" s="13"/>
      <c r="K93" s="13"/>
      <c r="L93" s="13"/>
      <c r="M93" s="13"/>
      <c r="N93" s="10" t="s">
        <v>239</v>
      </c>
      <c r="O93" s="10" t="s">
        <v>238</v>
      </c>
      <c r="P93" s="13"/>
      <c r="Q93" s="13"/>
      <c r="R93" s="13"/>
      <c r="S93" s="10" t="s">
        <v>421</v>
      </c>
      <c r="T93" s="18" t="s">
        <v>420</v>
      </c>
      <c r="U93" s="13"/>
      <c r="V93" s="13"/>
      <c r="W93" s="13"/>
      <c r="X93" s="13"/>
      <c r="Y93" s="10"/>
      <c r="Z93" s="10" t="s">
        <v>1010</v>
      </c>
      <c r="AA93" s="10" t="s">
        <v>1151</v>
      </c>
      <c r="AB93" s="10"/>
      <c r="AC93" s="10"/>
      <c r="AD93" s="10"/>
    </row>
    <row r="94" spans="1:30" ht="10.5" customHeight="1" x14ac:dyDescent="0.25">
      <c r="A94" s="9">
        <v>93</v>
      </c>
      <c r="B94" s="13"/>
      <c r="C94" s="13"/>
      <c r="D94" s="13"/>
      <c r="E94" s="13"/>
      <c r="F94" s="13"/>
      <c r="G94" s="13"/>
      <c r="H94" s="13"/>
      <c r="I94" s="13"/>
      <c r="J94" s="13"/>
      <c r="K94" s="13"/>
      <c r="L94" s="13"/>
      <c r="M94" s="13"/>
      <c r="N94" s="10" t="s">
        <v>240</v>
      </c>
      <c r="O94" s="10" t="s">
        <v>33</v>
      </c>
      <c r="P94" s="13"/>
      <c r="Q94" s="13"/>
      <c r="R94" s="13"/>
      <c r="S94" s="10" t="s">
        <v>425</v>
      </c>
      <c r="T94" s="18" t="s">
        <v>424</v>
      </c>
      <c r="U94" s="13"/>
      <c r="V94" s="13"/>
      <c r="W94" s="13"/>
      <c r="X94" s="13"/>
      <c r="Y94" s="10"/>
      <c r="Z94" s="10" t="s">
        <v>1011</v>
      </c>
      <c r="AA94" s="10" t="s">
        <v>1152</v>
      </c>
      <c r="AB94" s="10"/>
      <c r="AC94" s="10"/>
      <c r="AD94" s="10"/>
    </row>
    <row r="95" spans="1:30" ht="10.5" customHeight="1" x14ac:dyDescent="0.25">
      <c r="A95" s="9">
        <v>94</v>
      </c>
      <c r="B95" s="13"/>
      <c r="C95" s="13"/>
      <c r="D95" s="13"/>
      <c r="E95" s="13"/>
      <c r="F95" s="13"/>
      <c r="G95" s="13"/>
      <c r="H95" s="13"/>
      <c r="I95" s="13"/>
      <c r="J95" s="13"/>
      <c r="K95" s="13"/>
      <c r="L95" s="13"/>
      <c r="M95" s="13"/>
      <c r="N95" s="10" t="s">
        <v>242</v>
      </c>
      <c r="O95" s="10" t="s">
        <v>241</v>
      </c>
      <c r="P95" s="13"/>
      <c r="Q95" s="13"/>
      <c r="R95" s="13"/>
      <c r="S95" s="10" t="s">
        <v>431</v>
      </c>
      <c r="T95" s="18" t="s">
        <v>430</v>
      </c>
      <c r="U95" s="13"/>
      <c r="V95" s="13"/>
      <c r="W95" s="13"/>
      <c r="X95" s="13"/>
      <c r="Y95" s="10"/>
      <c r="Z95" s="10" t="s">
        <v>1012</v>
      </c>
      <c r="AA95" s="10" t="s">
        <v>1153</v>
      </c>
      <c r="AB95" s="10"/>
      <c r="AC95" s="10"/>
      <c r="AD95" s="10"/>
    </row>
    <row r="96" spans="1:30" ht="10.5" customHeight="1" x14ac:dyDescent="0.25">
      <c r="A96" s="9">
        <v>95</v>
      </c>
      <c r="B96" s="13"/>
      <c r="C96" s="13"/>
      <c r="D96" s="13"/>
      <c r="E96" s="13"/>
      <c r="F96" s="13"/>
      <c r="G96" s="13"/>
      <c r="H96" s="13"/>
      <c r="I96" s="13"/>
      <c r="J96" s="13"/>
      <c r="K96" s="13"/>
      <c r="L96" s="13"/>
      <c r="M96" s="13"/>
      <c r="N96" s="10" t="s">
        <v>244</v>
      </c>
      <c r="O96" s="10" t="s">
        <v>243</v>
      </c>
      <c r="P96" s="13"/>
      <c r="Q96" s="13"/>
      <c r="R96" s="13"/>
      <c r="S96" s="10" t="s">
        <v>433</v>
      </c>
      <c r="T96" s="18" t="s">
        <v>432</v>
      </c>
      <c r="U96" s="13"/>
      <c r="V96" s="13"/>
      <c r="W96" s="13"/>
      <c r="X96" s="13"/>
      <c r="Y96" s="10"/>
      <c r="Z96" s="10" t="s">
        <v>1013</v>
      </c>
      <c r="AA96" s="10" t="s">
        <v>1154</v>
      </c>
      <c r="AB96" s="10"/>
      <c r="AC96" s="10"/>
      <c r="AD96" s="10"/>
    </row>
    <row r="97" spans="1:30" ht="10.5" customHeight="1" x14ac:dyDescent="0.25">
      <c r="A97" s="9">
        <v>96</v>
      </c>
      <c r="B97" s="13"/>
      <c r="C97" s="13"/>
      <c r="D97" s="13"/>
      <c r="E97" s="13"/>
      <c r="F97" s="13"/>
      <c r="G97" s="13"/>
      <c r="H97" s="13"/>
      <c r="I97" s="13"/>
      <c r="J97" s="13"/>
      <c r="K97" s="13"/>
      <c r="L97" s="13"/>
      <c r="M97" s="13"/>
      <c r="N97" s="10" t="s">
        <v>246</v>
      </c>
      <c r="O97" s="10" t="s">
        <v>245</v>
      </c>
      <c r="P97" s="13"/>
      <c r="Q97" s="13"/>
      <c r="R97" s="13"/>
      <c r="S97" s="10" t="s">
        <v>437</v>
      </c>
      <c r="T97" s="18" t="s">
        <v>436</v>
      </c>
      <c r="U97" s="13"/>
      <c r="V97" s="13"/>
      <c r="W97" s="13"/>
      <c r="X97" s="13"/>
      <c r="Y97" s="10"/>
      <c r="Z97" s="10" t="s">
        <v>1014</v>
      </c>
      <c r="AA97" s="10" t="s">
        <v>1155</v>
      </c>
      <c r="AB97" s="10"/>
      <c r="AC97" s="10"/>
      <c r="AD97" s="10"/>
    </row>
    <row r="98" spans="1:30" ht="10.5" customHeight="1" x14ac:dyDescent="0.25">
      <c r="A98" s="9">
        <v>97</v>
      </c>
      <c r="B98" s="13"/>
      <c r="C98" s="13"/>
      <c r="D98" s="13"/>
      <c r="E98" s="13"/>
      <c r="F98" s="13"/>
      <c r="G98" s="13"/>
      <c r="H98" s="13"/>
      <c r="I98" s="13"/>
      <c r="J98" s="13"/>
      <c r="K98" s="13"/>
      <c r="L98" s="13"/>
      <c r="M98" s="13"/>
      <c r="N98" s="10" t="s">
        <v>248</v>
      </c>
      <c r="O98" s="10" t="s">
        <v>247</v>
      </c>
      <c r="P98" s="13"/>
      <c r="Q98" s="13"/>
      <c r="R98" s="13"/>
      <c r="S98" s="10" t="s">
        <v>439</v>
      </c>
      <c r="T98" s="18" t="s">
        <v>438</v>
      </c>
      <c r="U98" s="13"/>
      <c r="V98" s="13"/>
      <c r="W98" s="13"/>
      <c r="X98" s="13"/>
      <c r="Y98" s="10"/>
      <c r="Z98" s="10" t="s">
        <v>1015</v>
      </c>
      <c r="AA98" s="10" t="s">
        <v>1156</v>
      </c>
      <c r="AB98" s="10"/>
      <c r="AC98" s="10"/>
      <c r="AD98" s="10"/>
    </row>
    <row r="99" spans="1:30" ht="10.5" customHeight="1" x14ac:dyDescent="0.25">
      <c r="A99" s="9">
        <v>98</v>
      </c>
      <c r="B99" s="13"/>
      <c r="C99" s="13"/>
      <c r="D99" s="13"/>
      <c r="E99" s="13"/>
      <c r="F99" s="13"/>
      <c r="G99" s="13"/>
      <c r="H99" s="13"/>
      <c r="I99" s="13"/>
      <c r="J99" s="13"/>
      <c r="K99" s="13"/>
      <c r="L99" s="13"/>
      <c r="M99" s="13"/>
      <c r="N99" s="10" t="s">
        <v>249</v>
      </c>
      <c r="O99" s="10" t="s">
        <v>32</v>
      </c>
      <c r="P99" s="13"/>
      <c r="Q99" s="13"/>
      <c r="R99" s="13"/>
      <c r="S99" s="10" t="s">
        <v>441</v>
      </c>
      <c r="T99" s="18" t="s">
        <v>440</v>
      </c>
      <c r="U99" s="13"/>
      <c r="V99" s="13"/>
      <c r="W99" s="13"/>
      <c r="X99" s="13"/>
      <c r="Y99" s="10"/>
      <c r="Z99" s="10" t="s">
        <v>1016</v>
      </c>
      <c r="AA99" s="10" t="s">
        <v>1157</v>
      </c>
      <c r="AB99" s="10"/>
      <c r="AC99" s="10"/>
      <c r="AD99" s="10"/>
    </row>
    <row r="100" spans="1:30" ht="10.5" customHeight="1" x14ac:dyDescent="0.25">
      <c r="A100" s="9">
        <v>99</v>
      </c>
      <c r="B100" s="13"/>
      <c r="C100" s="13"/>
      <c r="D100" s="13"/>
      <c r="E100" s="13"/>
      <c r="F100" s="13"/>
      <c r="G100" s="13"/>
      <c r="H100" s="13"/>
      <c r="I100" s="13"/>
      <c r="J100" s="13"/>
      <c r="K100" s="13"/>
      <c r="L100" s="13"/>
      <c r="M100" s="13"/>
      <c r="N100" s="10" t="s">
        <v>251</v>
      </c>
      <c r="O100" s="10" t="s">
        <v>250</v>
      </c>
      <c r="P100" s="13"/>
      <c r="Q100" s="13"/>
      <c r="R100" s="13"/>
      <c r="S100" s="10" t="s">
        <v>443</v>
      </c>
      <c r="T100" s="18" t="s">
        <v>442</v>
      </c>
      <c r="U100" s="13"/>
      <c r="V100" s="13"/>
      <c r="W100" s="13"/>
      <c r="X100" s="13"/>
      <c r="Y100" s="10"/>
      <c r="Z100" s="10" t="s">
        <v>1017</v>
      </c>
      <c r="AA100" s="10" t="s">
        <v>1158</v>
      </c>
      <c r="AB100" s="10"/>
      <c r="AC100" s="10"/>
      <c r="AD100" s="10"/>
    </row>
    <row r="101" spans="1:30" ht="10.5" customHeight="1" x14ac:dyDescent="0.25">
      <c r="A101" s="9">
        <v>100</v>
      </c>
      <c r="B101" s="13"/>
      <c r="C101" s="13"/>
      <c r="D101" s="13"/>
      <c r="E101" s="13"/>
      <c r="F101" s="13"/>
      <c r="G101" s="13"/>
      <c r="H101" s="13"/>
      <c r="I101" s="13"/>
      <c r="J101" s="13"/>
      <c r="K101" s="13"/>
      <c r="L101" s="13"/>
      <c r="M101" s="13"/>
      <c r="N101" s="10" t="s">
        <v>253</v>
      </c>
      <c r="O101" s="10" t="s">
        <v>252</v>
      </c>
      <c r="P101" s="13"/>
      <c r="Q101" s="13"/>
      <c r="R101" s="13"/>
      <c r="S101" s="10" t="s">
        <v>447</v>
      </c>
      <c r="T101" s="18" t="s">
        <v>446</v>
      </c>
      <c r="U101" s="13"/>
      <c r="V101" s="13"/>
      <c r="W101" s="13"/>
      <c r="X101" s="13"/>
      <c r="Y101" s="10"/>
      <c r="Z101" s="10" t="s">
        <v>1018</v>
      </c>
      <c r="AA101" s="10" t="s">
        <v>1159</v>
      </c>
      <c r="AB101" s="10"/>
      <c r="AC101" s="10"/>
      <c r="AD101" s="10"/>
    </row>
    <row r="102" spans="1:30" ht="10.5" customHeight="1" x14ac:dyDescent="0.25">
      <c r="A102" s="9">
        <v>101</v>
      </c>
      <c r="B102" s="13"/>
      <c r="C102" s="13"/>
      <c r="D102" s="13"/>
      <c r="E102" s="13"/>
      <c r="F102" s="13"/>
      <c r="G102" s="13"/>
      <c r="H102" s="13"/>
      <c r="I102" s="13"/>
      <c r="J102" s="13"/>
      <c r="K102" s="13"/>
      <c r="L102" s="13"/>
      <c r="M102" s="13"/>
      <c r="N102" s="10" t="s">
        <v>255</v>
      </c>
      <c r="O102" s="10" t="s">
        <v>254</v>
      </c>
      <c r="P102" s="13"/>
      <c r="Q102" s="13"/>
      <c r="R102" s="13"/>
      <c r="S102" s="10" t="s">
        <v>449</v>
      </c>
      <c r="T102" s="18" t="s">
        <v>448</v>
      </c>
      <c r="U102" s="13"/>
      <c r="V102" s="13"/>
      <c r="W102" s="13"/>
      <c r="X102" s="13"/>
      <c r="Y102" s="10"/>
      <c r="Z102" s="10" t="s">
        <v>1019</v>
      </c>
      <c r="AA102" s="10" t="s">
        <v>1160</v>
      </c>
      <c r="AB102" s="10"/>
      <c r="AC102" s="10"/>
      <c r="AD102" s="10"/>
    </row>
    <row r="103" spans="1:30" ht="10.5" customHeight="1" x14ac:dyDescent="0.25">
      <c r="A103" s="9">
        <v>102</v>
      </c>
      <c r="B103" s="13"/>
      <c r="C103" s="13"/>
      <c r="D103" s="13"/>
      <c r="E103" s="13"/>
      <c r="F103" s="13"/>
      <c r="G103" s="13"/>
      <c r="H103" s="13"/>
      <c r="I103" s="13"/>
      <c r="J103" s="13"/>
      <c r="K103" s="13"/>
      <c r="L103" s="13"/>
      <c r="M103" s="13"/>
      <c r="N103" s="10" t="s">
        <v>257</v>
      </c>
      <c r="O103" s="10" t="s">
        <v>256</v>
      </c>
      <c r="P103" s="13"/>
      <c r="Q103" s="13"/>
      <c r="R103" s="13"/>
      <c r="S103" s="10" t="s">
        <v>451</v>
      </c>
      <c r="T103" s="18" t="s">
        <v>450</v>
      </c>
      <c r="U103" s="13"/>
      <c r="V103" s="13"/>
      <c r="W103" s="13"/>
      <c r="X103" s="13"/>
      <c r="Y103" s="10"/>
      <c r="Z103" s="10" t="s">
        <v>1020</v>
      </c>
      <c r="AA103" s="10" t="s">
        <v>1161</v>
      </c>
      <c r="AB103" s="10"/>
      <c r="AC103" s="10"/>
      <c r="AD103" s="10"/>
    </row>
    <row r="104" spans="1:30" ht="10.5" customHeight="1" x14ac:dyDescent="0.25">
      <c r="A104" s="9">
        <v>103</v>
      </c>
      <c r="B104" s="13"/>
      <c r="C104" s="13"/>
      <c r="D104" s="13"/>
      <c r="E104" s="13"/>
      <c r="F104" s="13"/>
      <c r="G104" s="13"/>
      <c r="H104" s="13"/>
      <c r="I104" s="13"/>
      <c r="J104" s="13"/>
      <c r="K104" s="13"/>
      <c r="L104" s="13"/>
      <c r="M104" s="13"/>
      <c r="N104" s="10" t="s">
        <v>258</v>
      </c>
      <c r="O104" s="10" t="s">
        <v>35</v>
      </c>
      <c r="P104" s="13"/>
      <c r="Q104" s="13"/>
      <c r="R104" s="13"/>
      <c r="S104" s="10" t="s">
        <v>455</v>
      </c>
      <c r="T104" s="18" t="s">
        <v>454</v>
      </c>
      <c r="U104" s="13"/>
      <c r="V104" s="13"/>
      <c r="W104" s="13"/>
      <c r="X104" s="13"/>
      <c r="Y104" s="10"/>
      <c r="Z104" s="10" t="s">
        <v>1021</v>
      </c>
      <c r="AA104" s="10" t="s">
        <v>1162</v>
      </c>
      <c r="AB104" s="10"/>
      <c r="AC104" s="10"/>
      <c r="AD104" s="10"/>
    </row>
    <row r="105" spans="1:30" ht="10.5" customHeight="1" x14ac:dyDescent="0.25">
      <c r="A105" s="9">
        <v>104</v>
      </c>
      <c r="B105" s="13"/>
      <c r="C105" s="13"/>
      <c r="D105" s="13"/>
      <c r="E105" s="13"/>
      <c r="F105" s="13"/>
      <c r="G105" s="13"/>
      <c r="H105" s="13"/>
      <c r="I105" s="13"/>
      <c r="J105" s="13"/>
      <c r="K105" s="13"/>
      <c r="L105" s="13"/>
      <c r="M105" s="13"/>
      <c r="N105" s="10" t="s">
        <v>260</v>
      </c>
      <c r="O105" s="10" t="s">
        <v>259</v>
      </c>
      <c r="P105" s="13"/>
      <c r="Q105" s="13"/>
      <c r="R105" s="13"/>
      <c r="S105" s="10" t="s">
        <v>458</v>
      </c>
      <c r="T105" s="18" t="s">
        <v>382</v>
      </c>
      <c r="U105" s="13"/>
      <c r="V105" s="13"/>
      <c r="W105" s="13"/>
      <c r="X105" s="13"/>
      <c r="Y105" s="10"/>
      <c r="Z105" s="10" t="s">
        <v>1022</v>
      </c>
      <c r="AA105" s="10" t="s">
        <v>1163</v>
      </c>
      <c r="AB105" s="10"/>
      <c r="AC105" s="10"/>
      <c r="AD105" s="10"/>
    </row>
    <row r="106" spans="1:30" ht="10.5" customHeight="1" x14ac:dyDescent="0.25">
      <c r="A106" s="9">
        <v>105</v>
      </c>
      <c r="B106" s="13"/>
      <c r="C106" s="13"/>
      <c r="D106" s="13"/>
      <c r="E106" s="13"/>
      <c r="F106" s="13"/>
      <c r="G106" s="13"/>
      <c r="H106" s="13"/>
      <c r="I106" s="13"/>
      <c r="J106" s="13"/>
      <c r="K106" s="13"/>
      <c r="L106" s="13"/>
      <c r="M106" s="13"/>
      <c r="N106" s="10" t="s">
        <v>262</v>
      </c>
      <c r="O106" s="10" t="s">
        <v>261</v>
      </c>
      <c r="P106" s="13"/>
      <c r="Q106" s="13"/>
      <c r="R106" s="13"/>
      <c r="S106" s="10" t="s">
        <v>460</v>
      </c>
      <c r="T106" s="18" t="s">
        <v>459</v>
      </c>
      <c r="U106" s="13"/>
      <c r="V106" s="13"/>
      <c r="W106" s="13"/>
      <c r="X106" s="13"/>
      <c r="Y106" s="10"/>
      <c r="Z106" s="10" t="s">
        <v>1023</v>
      </c>
      <c r="AA106" s="10" t="s">
        <v>1164</v>
      </c>
      <c r="AB106" s="10"/>
      <c r="AC106" s="10"/>
      <c r="AD106" s="10"/>
    </row>
    <row r="107" spans="1:30" ht="10.5" customHeight="1" x14ac:dyDescent="0.25">
      <c r="A107" s="9">
        <v>106</v>
      </c>
      <c r="B107" s="13"/>
      <c r="C107" s="13"/>
      <c r="D107" s="13"/>
      <c r="E107" s="13"/>
      <c r="F107" s="13"/>
      <c r="G107" s="13"/>
      <c r="H107" s="13"/>
      <c r="I107" s="13"/>
      <c r="J107" s="13"/>
      <c r="K107" s="13"/>
      <c r="L107" s="13"/>
      <c r="M107" s="13"/>
      <c r="N107" s="10" t="s">
        <v>264</v>
      </c>
      <c r="O107" s="10" t="s">
        <v>263</v>
      </c>
      <c r="P107" s="13"/>
      <c r="Q107" s="13"/>
      <c r="R107" s="13"/>
      <c r="S107" s="10" t="s">
        <v>462</v>
      </c>
      <c r="T107" s="18" t="s">
        <v>461</v>
      </c>
      <c r="U107" s="13"/>
      <c r="V107" s="13"/>
      <c r="W107" s="13"/>
      <c r="X107" s="13"/>
      <c r="Y107" s="10"/>
      <c r="Z107" s="10" t="s">
        <v>1024</v>
      </c>
      <c r="AA107" s="10" t="s">
        <v>1165</v>
      </c>
      <c r="AB107" s="10"/>
      <c r="AC107" s="10"/>
      <c r="AD107" s="10"/>
    </row>
    <row r="108" spans="1:30" ht="10.5" customHeight="1" x14ac:dyDescent="0.25">
      <c r="A108" s="9">
        <v>107</v>
      </c>
      <c r="B108" s="13"/>
      <c r="C108" s="13"/>
      <c r="D108" s="13"/>
      <c r="E108" s="13"/>
      <c r="F108" s="13"/>
      <c r="G108" s="13"/>
      <c r="H108" s="13"/>
      <c r="I108" s="13"/>
      <c r="J108" s="13"/>
      <c r="K108" s="13"/>
      <c r="L108" s="13"/>
      <c r="M108" s="13"/>
      <c r="N108" s="10" t="s">
        <v>265</v>
      </c>
      <c r="O108" s="10" t="s">
        <v>34</v>
      </c>
      <c r="P108" s="13"/>
      <c r="Q108" s="13"/>
      <c r="R108" s="13"/>
      <c r="S108" s="10" t="s">
        <v>464</v>
      </c>
      <c r="T108" s="18" t="s">
        <v>463</v>
      </c>
      <c r="U108" s="13"/>
      <c r="V108" s="13"/>
      <c r="W108" s="13"/>
      <c r="X108" s="13"/>
      <c r="Y108" s="10"/>
      <c r="Z108" s="10" t="s">
        <v>1025</v>
      </c>
      <c r="AA108" s="10" t="s">
        <v>1166</v>
      </c>
      <c r="AB108" s="10"/>
      <c r="AC108" s="10"/>
      <c r="AD108" s="10"/>
    </row>
    <row r="109" spans="1:30" ht="10.5" customHeight="1" x14ac:dyDescent="0.25">
      <c r="A109" s="9">
        <v>108</v>
      </c>
      <c r="B109" s="13"/>
      <c r="C109" s="13"/>
      <c r="D109" s="13"/>
      <c r="E109" s="13"/>
      <c r="F109" s="13"/>
      <c r="G109" s="13"/>
      <c r="H109" s="13"/>
      <c r="I109" s="13"/>
      <c r="J109" s="13"/>
      <c r="K109" s="13"/>
      <c r="L109" s="13"/>
      <c r="M109" s="13"/>
      <c r="N109" s="10" t="s">
        <v>267</v>
      </c>
      <c r="O109" s="10" t="s">
        <v>266</v>
      </c>
      <c r="P109" s="13"/>
      <c r="Q109" s="13"/>
      <c r="R109" s="13"/>
      <c r="S109" s="10" t="s">
        <v>470</v>
      </c>
      <c r="T109" s="18" t="s">
        <v>469</v>
      </c>
      <c r="U109" s="13"/>
      <c r="V109" s="13"/>
      <c r="W109" s="13"/>
      <c r="X109" s="13"/>
      <c r="Y109" s="10"/>
      <c r="Z109" s="10" t="s">
        <v>1026</v>
      </c>
      <c r="AA109" s="10" t="s">
        <v>1167</v>
      </c>
      <c r="AB109" s="10"/>
      <c r="AC109" s="10"/>
      <c r="AD109" s="10"/>
    </row>
    <row r="110" spans="1:30" ht="10.5" customHeight="1" x14ac:dyDescent="0.25">
      <c r="A110" s="9">
        <v>109</v>
      </c>
      <c r="B110" s="13"/>
      <c r="C110" s="13"/>
      <c r="D110" s="13"/>
      <c r="E110" s="13"/>
      <c r="F110" s="13"/>
      <c r="G110" s="13"/>
      <c r="H110" s="13"/>
      <c r="I110" s="13"/>
      <c r="J110" s="13"/>
      <c r="K110" s="13"/>
      <c r="L110" s="13"/>
      <c r="M110" s="13"/>
      <c r="N110" s="10" t="s">
        <v>269</v>
      </c>
      <c r="O110" s="10" t="s">
        <v>268</v>
      </c>
      <c r="P110" s="13"/>
      <c r="Q110" s="13"/>
      <c r="R110" s="13"/>
      <c r="S110" s="10" t="s">
        <v>472</v>
      </c>
      <c r="T110" s="18" t="s">
        <v>471</v>
      </c>
      <c r="U110" s="13"/>
      <c r="V110" s="13"/>
      <c r="W110" s="13"/>
      <c r="X110" s="13"/>
      <c r="Y110" s="10"/>
      <c r="Z110" s="10" t="s">
        <v>1027</v>
      </c>
      <c r="AA110" s="10" t="s">
        <v>1168</v>
      </c>
      <c r="AB110" s="10"/>
      <c r="AC110" s="10"/>
      <c r="AD110" s="10"/>
    </row>
    <row r="111" spans="1:30" ht="10.5" customHeight="1" x14ac:dyDescent="0.25">
      <c r="A111" s="9">
        <v>110</v>
      </c>
      <c r="B111" s="13"/>
      <c r="C111" s="13"/>
      <c r="D111" s="13"/>
      <c r="E111" s="13"/>
      <c r="F111" s="13"/>
      <c r="G111" s="13"/>
      <c r="H111" s="13"/>
      <c r="I111" s="13"/>
      <c r="J111" s="13"/>
      <c r="K111" s="13"/>
      <c r="L111" s="13"/>
      <c r="M111" s="13"/>
      <c r="N111" s="10" t="s">
        <v>271</v>
      </c>
      <c r="O111" s="10" t="s">
        <v>270</v>
      </c>
      <c r="P111" s="13"/>
      <c r="Q111" s="13"/>
      <c r="R111" s="13"/>
      <c r="S111" s="10" t="s">
        <v>474</v>
      </c>
      <c r="T111" s="18" t="s">
        <v>473</v>
      </c>
      <c r="U111" s="13"/>
      <c r="V111" s="13"/>
      <c r="W111" s="13"/>
      <c r="X111" s="13"/>
      <c r="Y111" s="10"/>
      <c r="Z111" s="10" t="s">
        <v>1028</v>
      </c>
      <c r="AA111" s="10" t="s">
        <v>1169</v>
      </c>
      <c r="AB111" s="10"/>
      <c r="AC111" s="10"/>
      <c r="AD111" s="10"/>
    </row>
    <row r="112" spans="1:30" ht="10.5" customHeight="1" x14ac:dyDescent="0.25">
      <c r="A112" s="9">
        <v>111</v>
      </c>
      <c r="B112" s="13"/>
      <c r="C112" s="13"/>
      <c r="D112" s="13"/>
      <c r="E112" s="13"/>
      <c r="F112" s="13"/>
      <c r="G112" s="13"/>
      <c r="H112" s="13"/>
      <c r="I112" s="13"/>
      <c r="J112" s="13"/>
      <c r="K112" s="13"/>
      <c r="L112" s="13"/>
      <c r="M112" s="13"/>
      <c r="N112" s="10" t="s">
        <v>273</v>
      </c>
      <c r="O112" s="10" t="s">
        <v>272</v>
      </c>
      <c r="P112" s="13"/>
      <c r="Q112" s="13"/>
      <c r="R112" s="13"/>
      <c r="S112" s="10" t="s">
        <v>480</v>
      </c>
      <c r="T112" s="18" t="s">
        <v>479</v>
      </c>
      <c r="U112" s="13"/>
      <c r="V112" s="13"/>
      <c r="W112" s="13"/>
      <c r="X112" s="13"/>
      <c r="Y112" s="10"/>
      <c r="Z112" s="10" t="s">
        <v>1029</v>
      </c>
      <c r="AA112" s="10" t="s">
        <v>1170</v>
      </c>
      <c r="AB112" s="10"/>
      <c r="AC112" s="10"/>
      <c r="AD112" s="10"/>
    </row>
    <row r="113" spans="1:30" ht="10.5" customHeight="1" x14ac:dyDescent="0.25">
      <c r="A113" s="9">
        <v>112</v>
      </c>
      <c r="B113" s="13"/>
      <c r="C113" s="13"/>
      <c r="D113" s="13"/>
      <c r="E113" s="13"/>
      <c r="F113" s="13"/>
      <c r="G113" s="13"/>
      <c r="H113" s="13"/>
      <c r="I113" s="13"/>
      <c r="J113" s="13"/>
      <c r="K113" s="13"/>
      <c r="L113" s="13"/>
      <c r="M113" s="13"/>
      <c r="N113" s="10" t="s">
        <v>275</v>
      </c>
      <c r="O113" s="10" t="s">
        <v>274</v>
      </c>
      <c r="P113" s="13"/>
      <c r="Q113" s="13"/>
      <c r="R113" s="13"/>
      <c r="S113" s="10" t="s">
        <v>482</v>
      </c>
      <c r="T113" s="18" t="s">
        <v>481</v>
      </c>
      <c r="U113" s="13"/>
      <c r="V113" s="13"/>
      <c r="W113" s="13"/>
      <c r="X113" s="13"/>
      <c r="Y113" s="10"/>
      <c r="Z113" s="10" t="s">
        <v>1030</v>
      </c>
      <c r="AA113" s="10" t="s">
        <v>1171</v>
      </c>
      <c r="AB113" s="10"/>
      <c r="AC113" s="10"/>
      <c r="AD113" s="10"/>
    </row>
    <row r="114" spans="1:30" ht="10.5" customHeight="1" x14ac:dyDescent="0.25">
      <c r="A114" s="9">
        <v>113</v>
      </c>
      <c r="B114" s="13"/>
      <c r="C114" s="13"/>
      <c r="D114" s="13"/>
      <c r="E114" s="13"/>
      <c r="F114" s="13"/>
      <c r="G114" s="13"/>
      <c r="H114" s="13"/>
      <c r="I114" s="13"/>
      <c r="J114" s="13"/>
      <c r="K114" s="13"/>
      <c r="L114" s="13"/>
      <c r="M114" s="13"/>
      <c r="N114" s="10" t="s">
        <v>277</v>
      </c>
      <c r="O114" s="10" t="s">
        <v>276</v>
      </c>
      <c r="P114" s="13"/>
      <c r="Q114" s="13"/>
      <c r="R114" s="13"/>
      <c r="S114" s="10" t="s">
        <v>484</v>
      </c>
      <c r="T114" s="18" t="s">
        <v>483</v>
      </c>
      <c r="U114" s="13"/>
      <c r="V114" s="13"/>
      <c r="W114" s="13"/>
      <c r="X114" s="13"/>
      <c r="Y114" s="10"/>
      <c r="Z114" s="10" t="s">
        <v>1031</v>
      </c>
      <c r="AA114" s="10" t="s">
        <v>1172</v>
      </c>
      <c r="AB114" s="10"/>
      <c r="AC114" s="10"/>
      <c r="AD114" s="10"/>
    </row>
    <row r="115" spans="1:30" ht="10.5" customHeight="1" x14ac:dyDescent="0.25">
      <c r="A115" s="9">
        <v>114</v>
      </c>
      <c r="B115" s="13"/>
      <c r="C115" s="13"/>
      <c r="D115" s="13"/>
      <c r="E115" s="13"/>
      <c r="F115" s="13"/>
      <c r="G115" s="13"/>
      <c r="H115" s="13"/>
      <c r="I115" s="13"/>
      <c r="J115" s="13"/>
      <c r="K115" s="13"/>
      <c r="L115" s="13"/>
      <c r="M115" s="13"/>
      <c r="N115" s="10" t="s">
        <v>279</v>
      </c>
      <c r="O115" s="10" t="s">
        <v>278</v>
      </c>
      <c r="P115" s="13"/>
      <c r="Q115" s="13"/>
      <c r="R115" s="13"/>
      <c r="S115" s="10" t="s">
        <v>486</v>
      </c>
      <c r="T115" s="18" t="s">
        <v>485</v>
      </c>
      <c r="U115" s="13"/>
      <c r="V115" s="13"/>
      <c r="W115" s="13"/>
      <c r="X115" s="13"/>
      <c r="Y115" s="10"/>
      <c r="Z115" s="10" t="s">
        <v>1032</v>
      </c>
      <c r="AA115" s="10" t="s">
        <v>1173</v>
      </c>
      <c r="AB115" s="10"/>
      <c r="AC115" s="10"/>
      <c r="AD115" s="10"/>
    </row>
    <row r="116" spans="1:30" ht="10.5" customHeight="1" x14ac:dyDescent="0.25">
      <c r="A116" s="9">
        <v>115</v>
      </c>
      <c r="B116" s="13"/>
      <c r="C116" s="13"/>
      <c r="D116" s="13"/>
      <c r="E116" s="13"/>
      <c r="F116" s="13"/>
      <c r="G116" s="13"/>
      <c r="H116" s="13"/>
      <c r="I116" s="13"/>
      <c r="J116" s="13"/>
      <c r="K116" s="13"/>
      <c r="L116" s="13"/>
      <c r="M116" s="13"/>
      <c r="N116" s="10" t="s">
        <v>281</v>
      </c>
      <c r="O116" s="10" t="s">
        <v>280</v>
      </c>
      <c r="P116" s="13"/>
      <c r="Q116" s="13"/>
      <c r="R116" s="13"/>
      <c r="S116" s="10" t="s">
        <v>487</v>
      </c>
      <c r="T116" s="18" t="s">
        <v>383</v>
      </c>
      <c r="U116" s="13"/>
      <c r="V116" s="13"/>
      <c r="W116" s="13"/>
      <c r="X116" s="13"/>
      <c r="Y116" s="10"/>
      <c r="Z116" s="10" t="s">
        <v>1033</v>
      </c>
      <c r="AA116" s="10" t="s">
        <v>1174</v>
      </c>
      <c r="AB116" s="10"/>
      <c r="AC116" s="10"/>
      <c r="AD116" s="10"/>
    </row>
    <row r="117" spans="1:30" ht="10.5" customHeight="1" x14ac:dyDescent="0.25">
      <c r="A117" s="9">
        <v>116</v>
      </c>
      <c r="B117" s="13"/>
      <c r="C117" s="13"/>
      <c r="D117" s="13"/>
      <c r="E117" s="13"/>
      <c r="F117" s="13"/>
      <c r="G117" s="13"/>
      <c r="H117" s="13"/>
      <c r="I117" s="13"/>
      <c r="J117" s="13"/>
      <c r="K117" s="13"/>
      <c r="L117" s="13"/>
      <c r="M117" s="13"/>
      <c r="N117" s="10" t="s">
        <v>284</v>
      </c>
      <c r="O117" s="10" t="s">
        <v>283</v>
      </c>
      <c r="P117" s="13"/>
      <c r="Q117" s="13"/>
      <c r="R117" s="13"/>
      <c r="S117" s="10" t="s">
        <v>495</v>
      </c>
      <c r="T117" s="18" t="s">
        <v>494</v>
      </c>
      <c r="U117" s="13"/>
      <c r="V117" s="13"/>
      <c r="W117" s="13"/>
      <c r="X117" s="13"/>
      <c r="Y117" s="10"/>
      <c r="Z117" s="10" t="s">
        <v>1034</v>
      </c>
      <c r="AA117" s="10" t="s">
        <v>1175</v>
      </c>
      <c r="AB117" s="10"/>
      <c r="AC117" s="10"/>
      <c r="AD117" s="10"/>
    </row>
    <row r="118" spans="1:30" ht="10.5" customHeight="1" x14ac:dyDescent="0.25">
      <c r="A118" s="9">
        <v>117</v>
      </c>
      <c r="B118" s="13"/>
      <c r="C118" s="13"/>
      <c r="D118" s="13"/>
      <c r="E118" s="13"/>
      <c r="F118" s="13"/>
      <c r="G118" s="13"/>
      <c r="H118" s="13"/>
      <c r="I118" s="13"/>
      <c r="J118" s="13"/>
      <c r="K118" s="13"/>
      <c r="L118" s="13"/>
      <c r="M118" s="13"/>
      <c r="N118" s="10" t="s">
        <v>286</v>
      </c>
      <c r="O118" s="10" t="s">
        <v>285</v>
      </c>
      <c r="P118" s="13"/>
      <c r="Q118" s="13"/>
      <c r="R118" s="13"/>
      <c r="S118" s="10" t="s">
        <v>499</v>
      </c>
      <c r="T118" s="18" t="s">
        <v>498</v>
      </c>
      <c r="U118" s="13"/>
      <c r="V118" s="13"/>
      <c r="W118" s="13"/>
      <c r="X118" s="13"/>
      <c r="Y118" s="10"/>
      <c r="Z118" s="10" t="s">
        <v>1035</v>
      </c>
      <c r="AA118" s="10" t="s">
        <v>1176</v>
      </c>
      <c r="AB118" s="10"/>
      <c r="AC118" s="10"/>
      <c r="AD118" s="10"/>
    </row>
    <row r="119" spans="1:30" ht="10.5" customHeight="1" x14ac:dyDescent="0.25">
      <c r="A119" s="9">
        <v>118</v>
      </c>
      <c r="B119" s="13"/>
      <c r="C119" s="13"/>
      <c r="D119" s="13"/>
      <c r="E119" s="13"/>
      <c r="F119" s="13"/>
      <c r="G119" s="13"/>
      <c r="H119" s="13"/>
      <c r="I119" s="13"/>
      <c r="J119" s="13"/>
      <c r="K119" s="13"/>
      <c r="L119" s="13"/>
      <c r="M119" s="13"/>
      <c r="N119" s="10" t="s">
        <v>289</v>
      </c>
      <c r="O119" s="10" t="s">
        <v>288</v>
      </c>
      <c r="P119" s="13"/>
      <c r="Q119" s="13"/>
      <c r="R119" s="13"/>
      <c r="S119" s="10" t="s">
        <v>501</v>
      </c>
      <c r="T119" s="18" t="s">
        <v>500</v>
      </c>
      <c r="U119" s="13"/>
      <c r="V119" s="13"/>
      <c r="W119" s="13"/>
      <c r="X119" s="13"/>
      <c r="Y119" s="10"/>
      <c r="Z119" s="10" t="s">
        <v>1036</v>
      </c>
      <c r="AA119" s="10" t="s">
        <v>1177</v>
      </c>
      <c r="AB119" s="10"/>
      <c r="AC119" s="10"/>
      <c r="AD119" s="10"/>
    </row>
    <row r="120" spans="1:30" ht="10.5" customHeight="1" x14ac:dyDescent="0.25">
      <c r="A120" s="9">
        <v>119</v>
      </c>
      <c r="B120" s="13"/>
      <c r="C120" s="13"/>
      <c r="D120" s="13"/>
      <c r="E120" s="13"/>
      <c r="F120" s="13"/>
      <c r="G120" s="13"/>
      <c r="H120" s="13"/>
      <c r="I120" s="13"/>
      <c r="J120" s="13"/>
      <c r="K120" s="13"/>
      <c r="L120" s="13"/>
      <c r="M120" s="13"/>
      <c r="N120" s="10" t="s">
        <v>291</v>
      </c>
      <c r="O120" s="10" t="s">
        <v>290</v>
      </c>
      <c r="P120" s="13"/>
      <c r="Q120" s="13"/>
      <c r="R120" s="13"/>
      <c r="S120" s="10" t="s">
        <v>503</v>
      </c>
      <c r="T120" s="18" t="s">
        <v>502</v>
      </c>
      <c r="U120" s="13"/>
      <c r="V120" s="13"/>
      <c r="W120" s="13"/>
      <c r="X120" s="13"/>
      <c r="Y120" s="10"/>
      <c r="Z120" s="10" t="s">
        <v>1037</v>
      </c>
      <c r="AA120" s="10" t="s">
        <v>1178</v>
      </c>
      <c r="AB120" s="10"/>
      <c r="AC120" s="10"/>
      <c r="AD120" s="10"/>
    </row>
    <row r="121" spans="1:30" ht="10.5" customHeight="1" x14ac:dyDescent="0.25">
      <c r="A121" s="9">
        <v>120</v>
      </c>
      <c r="B121" s="13"/>
      <c r="C121" s="13"/>
      <c r="D121" s="13"/>
      <c r="E121" s="13"/>
      <c r="F121" s="13"/>
      <c r="G121" s="13"/>
      <c r="H121" s="13"/>
      <c r="I121" s="13"/>
      <c r="J121" s="13"/>
      <c r="K121" s="13"/>
      <c r="L121" s="13"/>
      <c r="M121" s="13"/>
      <c r="N121" s="10" t="s">
        <v>293</v>
      </c>
      <c r="O121" s="10" t="s">
        <v>292</v>
      </c>
      <c r="P121" s="13"/>
      <c r="Q121" s="13"/>
      <c r="R121" s="13"/>
      <c r="S121" s="10" t="s">
        <v>505</v>
      </c>
      <c r="T121" s="18" t="s">
        <v>504</v>
      </c>
      <c r="U121" s="13"/>
      <c r="V121" s="13"/>
      <c r="W121" s="13"/>
      <c r="X121" s="13"/>
      <c r="Y121" s="10"/>
      <c r="Z121" s="10" t="s">
        <v>1038</v>
      </c>
      <c r="AA121" s="10" t="s">
        <v>1179</v>
      </c>
      <c r="AB121" s="10"/>
      <c r="AC121" s="10"/>
      <c r="AD121" s="10"/>
    </row>
    <row r="122" spans="1:30" ht="10.5" customHeight="1" x14ac:dyDescent="0.25">
      <c r="A122" s="9">
        <v>121</v>
      </c>
      <c r="B122" s="13"/>
      <c r="C122" s="13"/>
      <c r="D122" s="13"/>
      <c r="E122" s="13"/>
      <c r="F122" s="13"/>
      <c r="G122" s="13"/>
      <c r="H122" s="13"/>
      <c r="I122" s="13"/>
      <c r="J122" s="13"/>
      <c r="K122" s="13"/>
      <c r="L122" s="13"/>
      <c r="M122" s="13"/>
      <c r="N122" s="10" t="s">
        <v>295</v>
      </c>
      <c r="O122" s="10" t="s">
        <v>294</v>
      </c>
      <c r="P122" s="13"/>
      <c r="Q122" s="13"/>
      <c r="R122" s="13"/>
      <c r="S122" s="10" t="s">
        <v>511</v>
      </c>
      <c r="T122" s="18" t="s">
        <v>510</v>
      </c>
      <c r="U122" s="13"/>
      <c r="V122" s="13"/>
      <c r="W122" s="13"/>
      <c r="X122" s="13"/>
      <c r="Y122" s="10"/>
      <c r="Z122" s="10" t="s">
        <v>1039</v>
      </c>
      <c r="AA122" s="10" t="s">
        <v>1180</v>
      </c>
      <c r="AB122" s="10"/>
      <c r="AC122" s="10"/>
      <c r="AD122" s="10"/>
    </row>
    <row r="123" spans="1:30" ht="10.5" customHeight="1" x14ac:dyDescent="0.25">
      <c r="A123" s="9">
        <v>122</v>
      </c>
      <c r="B123" s="13"/>
      <c r="C123" s="13"/>
      <c r="D123" s="13"/>
      <c r="E123" s="13"/>
      <c r="F123" s="13"/>
      <c r="G123" s="13"/>
      <c r="H123" s="13"/>
      <c r="I123" s="13"/>
      <c r="J123" s="13"/>
      <c r="K123" s="13"/>
      <c r="L123" s="13"/>
      <c r="M123" s="13"/>
      <c r="N123" s="10" t="s">
        <v>297</v>
      </c>
      <c r="O123" s="10" t="s">
        <v>296</v>
      </c>
      <c r="P123" s="13"/>
      <c r="Q123" s="13"/>
      <c r="R123" s="13"/>
      <c r="S123" s="10" t="s">
        <v>513</v>
      </c>
      <c r="T123" s="18" t="s">
        <v>512</v>
      </c>
      <c r="U123" s="13"/>
      <c r="V123" s="13"/>
      <c r="W123" s="13"/>
      <c r="X123" s="13"/>
      <c r="Y123" s="10"/>
      <c r="Z123" s="10" t="s">
        <v>1040</v>
      </c>
      <c r="AA123" s="10" t="s">
        <v>1181</v>
      </c>
      <c r="AB123" s="10"/>
      <c r="AC123" s="10"/>
      <c r="AD123" s="10"/>
    </row>
    <row r="124" spans="1:30" ht="10.5" customHeight="1" x14ac:dyDescent="0.25">
      <c r="A124" s="9">
        <v>123</v>
      </c>
      <c r="B124" s="13"/>
      <c r="C124" s="13"/>
      <c r="D124" s="13"/>
      <c r="E124" s="13"/>
      <c r="F124" s="13"/>
      <c r="G124" s="13"/>
      <c r="H124" s="13"/>
      <c r="I124" s="13"/>
      <c r="J124" s="13"/>
      <c r="K124" s="13"/>
      <c r="L124" s="13"/>
      <c r="M124" s="13"/>
      <c r="N124" s="10" t="s">
        <v>299</v>
      </c>
      <c r="O124" s="10" t="s">
        <v>298</v>
      </c>
      <c r="P124" s="13"/>
      <c r="Q124" s="13"/>
      <c r="R124" s="13"/>
      <c r="S124" s="10" t="s">
        <v>517</v>
      </c>
      <c r="T124" s="18" t="s">
        <v>516</v>
      </c>
      <c r="U124" s="13"/>
      <c r="V124" s="13"/>
      <c r="W124" s="13"/>
      <c r="X124" s="13"/>
      <c r="Y124" s="10"/>
      <c r="Z124" s="10" t="s">
        <v>1041</v>
      </c>
      <c r="AA124" s="10" t="s">
        <v>1182</v>
      </c>
      <c r="AB124" s="10"/>
      <c r="AC124" s="10"/>
      <c r="AD124" s="10"/>
    </row>
    <row r="125" spans="1:30" ht="10.5" customHeight="1" x14ac:dyDescent="0.25">
      <c r="A125" s="9">
        <v>124</v>
      </c>
      <c r="B125" s="13"/>
      <c r="C125" s="13"/>
      <c r="D125" s="13"/>
      <c r="E125" s="13"/>
      <c r="F125" s="13"/>
      <c r="G125" s="13"/>
      <c r="H125" s="13"/>
      <c r="I125" s="13"/>
      <c r="J125" s="13"/>
      <c r="K125" s="13"/>
      <c r="L125" s="13"/>
      <c r="M125" s="13"/>
      <c r="N125" s="10" t="s">
        <v>300</v>
      </c>
      <c r="O125" s="10" t="s">
        <v>38</v>
      </c>
      <c r="P125" s="13"/>
      <c r="Q125" s="13"/>
      <c r="R125" s="13"/>
      <c r="S125" s="10" t="s">
        <v>521</v>
      </c>
      <c r="T125" s="18" t="s">
        <v>520</v>
      </c>
      <c r="U125" s="13"/>
      <c r="V125" s="13"/>
      <c r="W125" s="13"/>
      <c r="X125" s="13"/>
      <c r="Y125" s="10"/>
      <c r="Z125" s="10" t="s">
        <v>1042</v>
      </c>
      <c r="AA125" s="10" t="s">
        <v>1183</v>
      </c>
      <c r="AB125" s="10"/>
      <c r="AC125" s="10"/>
      <c r="AD125" s="10"/>
    </row>
    <row r="126" spans="1:30" ht="10.5" customHeight="1" x14ac:dyDescent="0.25">
      <c r="A126" s="9">
        <v>125</v>
      </c>
      <c r="B126" s="13"/>
      <c r="C126" s="13"/>
      <c r="D126" s="13"/>
      <c r="E126" s="13"/>
      <c r="F126" s="13"/>
      <c r="G126" s="13"/>
      <c r="H126" s="13"/>
      <c r="I126" s="13"/>
      <c r="J126" s="13"/>
      <c r="K126" s="13"/>
      <c r="L126" s="13"/>
      <c r="M126" s="13"/>
      <c r="N126" s="10" t="s">
        <v>303</v>
      </c>
      <c r="O126" s="10" t="s">
        <v>302</v>
      </c>
      <c r="P126" s="13"/>
      <c r="Q126" s="13"/>
      <c r="R126" s="13"/>
      <c r="S126" s="10" t="s">
        <v>523</v>
      </c>
      <c r="T126" s="18" t="s">
        <v>522</v>
      </c>
      <c r="U126" s="13"/>
      <c r="V126" s="13"/>
      <c r="W126" s="13"/>
      <c r="X126" s="13"/>
      <c r="Y126" s="10"/>
      <c r="Z126" s="10" t="s">
        <v>1043</v>
      </c>
      <c r="AA126" s="10" t="s">
        <v>1184</v>
      </c>
      <c r="AB126" s="10"/>
      <c r="AC126" s="10"/>
      <c r="AD126" s="10"/>
    </row>
    <row r="127" spans="1:30" ht="10.5" customHeight="1" x14ac:dyDescent="0.25">
      <c r="A127" s="9">
        <v>126</v>
      </c>
      <c r="B127" s="13"/>
      <c r="C127" s="13"/>
      <c r="D127" s="13"/>
      <c r="E127" s="13"/>
      <c r="F127" s="13"/>
      <c r="G127" s="13"/>
      <c r="H127" s="13"/>
      <c r="I127" s="13"/>
      <c r="J127" s="13"/>
      <c r="K127" s="13"/>
      <c r="L127" s="13"/>
      <c r="M127" s="13"/>
      <c r="N127" s="10" t="s">
        <v>304</v>
      </c>
      <c r="O127" s="10" t="s">
        <v>40</v>
      </c>
      <c r="P127" s="13"/>
      <c r="Q127" s="13"/>
      <c r="R127" s="13"/>
      <c r="S127" s="10" t="s">
        <v>525</v>
      </c>
      <c r="T127" s="18" t="s">
        <v>524</v>
      </c>
      <c r="U127" s="13"/>
      <c r="V127" s="13"/>
      <c r="W127" s="13"/>
      <c r="X127" s="13"/>
      <c r="Y127" s="10"/>
      <c r="Z127" s="10" t="s">
        <v>1044</v>
      </c>
      <c r="AA127" s="10" t="s">
        <v>1185</v>
      </c>
      <c r="AB127" s="10"/>
      <c r="AC127" s="10"/>
      <c r="AD127" s="10"/>
    </row>
    <row r="128" spans="1:30" ht="10.5" customHeight="1" x14ac:dyDescent="0.25">
      <c r="A128" s="9">
        <v>127</v>
      </c>
      <c r="B128" s="13"/>
      <c r="C128" s="13"/>
      <c r="D128" s="13"/>
      <c r="E128" s="13"/>
      <c r="F128" s="13"/>
      <c r="G128" s="13"/>
      <c r="H128" s="13"/>
      <c r="I128" s="13"/>
      <c r="J128" s="13"/>
      <c r="K128" s="13"/>
      <c r="L128" s="13"/>
      <c r="M128" s="13"/>
      <c r="N128" s="10" t="s">
        <v>307</v>
      </c>
      <c r="O128" s="10" t="s">
        <v>306</v>
      </c>
      <c r="P128" s="13"/>
      <c r="Q128" s="13"/>
      <c r="R128" s="13"/>
      <c r="S128" s="10" t="s">
        <v>531</v>
      </c>
      <c r="T128" s="18" t="s">
        <v>530</v>
      </c>
      <c r="U128" s="13"/>
      <c r="V128" s="13"/>
      <c r="W128" s="13"/>
      <c r="X128" s="13"/>
      <c r="Y128" s="10"/>
      <c r="Z128" s="10" t="s">
        <v>1045</v>
      </c>
      <c r="AA128" s="10" t="s">
        <v>1186</v>
      </c>
      <c r="AB128" s="10"/>
      <c r="AC128" s="10"/>
      <c r="AD128" s="10"/>
    </row>
    <row r="129" spans="1:30" ht="10.5" customHeight="1" x14ac:dyDescent="0.25">
      <c r="A129" s="9">
        <v>128</v>
      </c>
      <c r="B129" s="13"/>
      <c r="C129" s="13"/>
      <c r="D129" s="13"/>
      <c r="E129" s="13"/>
      <c r="F129" s="13"/>
      <c r="G129" s="13"/>
      <c r="H129" s="13"/>
      <c r="I129" s="13"/>
      <c r="J129" s="13"/>
      <c r="K129" s="13"/>
      <c r="L129" s="13"/>
      <c r="M129" s="13"/>
      <c r="N129" s="10" t="s">
        <v>309</v>
      </c>
      <c r="O129" s="10" t="s">
        <v>308</v>
      </c>
      <c r="P129" s="13"/>
      <c r="Q129" s="13"/>
      <c r="R129" s="13"/>
      <c r="S129" s="10" t="s">
        <v>535</v>
      </c>
      <c r="T129" s="18" t="s">
        <v>534</v>
      </c>
      <c r="U129" s="13"/>
      <c r="V129" s="13"/>
      <c r="W129" s="13"/>
      <c r="X129" s="13"/>
      <c r="Y129" s="10"/>
      <c r="Z129" s="10" t="s">
        <v>1046</v>
      </c>
      <c r="AA129" s="10" t="s">
        <v>1187</v>
      </c>
      <c r="AB129" s="10"/>
      <c r="AC129" s="10"/>
      <c r="AD129" s="10"/>
    </row>
    <row r="130" spans="1:30" ht="10.5" customHeight="1" x14ac:dyDescent="0.25">
      <c r="A130" s="9">
        <v>129</v>
      </c>
      <c r="B130" s="13"/>
      <c r="C130" s="13"/>
      <c r="D130" s="13"/>
      <c r="E130" s="13"/>
      <c r="F130" s="13"/>
      <c r="G130" s="13"/>
      <c r="H130" s="13"/>
      <c r="I130" s="13"/>
      <c r="J130" s="13"/>
      <c r="K130" s="13"/>
      <c r="L130" s="13"/>
      <c r="M130" s="13"/>
      <c r="N130" s="10" t="s">
        <v>311</v>
      </c>
      <c r="O130" s="10" t="s">
        <v>310</v>
      </c>
      <c r="P130" s="13"/>
      <c r="Q130" s="13"/>
      <c r="R130" s="13"/>
      <c r="S130" s="10" t="s">
        <v>537</v>
      </c>
      <c r="T130" s="18" t="s">
        <v>536</v>
      </c>
      <c r="U130" s="13"/>
      <c r="V130" s="13"/>
      <c r="W130" s="13"/>
      <c r="X130" s="13"/>
      <c r="Y130" s="10"/>
      <c r="Z130" s="10" t="s">
        <v>1047</v>
      </c>
      <c r="AA130" s="10" t="s">
        <v>1188</v>
      </c>
      <c r="AB130" s="10"/>
      <c r="AC130" s="10"/>
      <c r="AD130" s="10"/>
    </row>
    <row r="131" spans="1:30" ht="10.5" customHeight="1" x14ac:dyDescent="0.25">
      <c r="A131" s="9">
        <v>130</v>
      </c>
      <c r="B131" s="13"/>
      <c r="C131" s="13"/>
      <c r="D131" s="13"/>
      <c r="E131" s="13"/>
      <c r="F131" s="13"/>
      <c r="G131" s="13"/>
      <c r="H131" s="13"/>
      <c r="I131" s="13"/>
      <c r="J131" s="13"/>
      <c r="K131" s="13"/>
      <c r="L131" s="13"/>
      <c r="M131" s="13"/>
      <c r="N131" s="10" t="s">
        <v>313</v>
      </c>
      <c r="O131" s="10" t="s">
        <v>312</v>
      </c>
      <c r="P131" s="13"/>
      <c r="Q131" s="13"/>
      <c r="R131" s="13"/>
      <c r="S131" s="10" t="s">
        <v>539</v>
      </c>
      <c r="T131" s="18" t="s">
        <v>538</v>
      </c>
      <c r="U131" s="13"/>
      <c r="V131" s="13"/>
      <c r="W131" s="13"/>
      <c r="X131" s="13"/>
      <c r="Y131" s="10"/>
      <c r="Z131" s="10" t="s">
        <v>1048</v>
      </c>
      <c r="AA131" s="10" t="s">
        <v>1189</v>
      </c>
      <c r="AB131" s="10"/>
      <c r="AC131" s="10"/>
      <c r="AD131" s="10"/>
    </row>
    <row r="132" spans="1:30" ht="10.5" customHeight="1" x14ac:dyDescent="0.25">
      <c r="A132" s="9">
        <v>131</v>
      </c>
      <c r="B132" s="13"/>
      <c r="C132" s="13"/>
      <c r="D132" s="13"/>
      <c r="E132" s="13"/>
      <c r="F132" s="13"/>
      <c r="G132" s="13"/>
      <c r="H132" s="13"/>
      <c r="I132" s="13"/>
      <c r="J132" s="13"/>
      <c r="K132" s="13"/>
      <c r="L132" s="13"/>
      <c r="M132" s="13"/>
      <c r="N132" s="10" t="s">
        <v>315</v>
      </c>
      <c r="O132" s="10" t="s">
        <v>314</v>
      </c>
      <c r="P132" s="13"/>
      <c r="Q132" s="13"/>
      <c r="R132" s="13"/>
      <c r="S132" s="10" t="s">
        <v>543</v>
      </c>
      <c r="T132" s="18" t="s">
        <v>542</v>
      </c>
      <c r="U132" s="13"/>
      <c r="V132" s="13"/>
      <c r="W132" s="13"/>
      <c r="X132" s="13"/>
      <c r="Y132" s="10"/>
      <c r="Z132" s="10" t="s">
        <v>1049</v>
      </c>
      <c r="AA132" s="10" t="s">
        <v>1190</v>
      </c>
      <c r="AB132" s="10"/>
      <c r="AC132" s="10"/>
      <c r="AD132" s="10"/>
    </row>
    <row r="133" spans="1:30" ht="10.5" customHeight="1" x14ac:dyDescent="0.25">
      <c r="A133" s="9">
        <v>132</v>
      </c>
      <c r="B133" s="13"/>
      <c r="C133" s="13"/>
      <c r="D133" s="13"/>
      <c r="E133" s="13"/>
      <c r="F133" s="13"/>
      <c r="G133" s="13"/>
      <c r="H133" s="13"/>
      <c r="I133" s="13"/>
      <c r="J133" s="13"/>
      <c r="K133" s="13"/>
      <c r="L133" s="13"/>
      <c r="M133" s="13"/>
      <c r="N133" s="10" t="s">
        <v>317</v>
      </c>
      <c r="O133" s="10" t="s">
        <v>316</v>
      </c>
      <c r="P133" s="13"/>
      <c r="Q133" s="13"/>
      <c r="R133" s="13"/>
      <c r="S133" s="10" t="s">
        <v>547</v>
      </c>
      <c r="T133" s="18" t="s">
        <v>546</v>
      </c>
      <c r="U133" s="13"/>
      <c r="V133" s="13"/>
      <c r="W133" s="13"/>
      <c r="X133" s="13"/>
      <c r="Y133" s="10"/>
      <c r="Z133" s="10" t="s">
        <v>1050</v>
      </c>
      <c r="AA133" s="10" t="s">
        <v>1191</v>
      </c>
      <c r="AB133" s="10"/>
      <c r="AC133" s="10"/>
      <c r="AD133" s="10"/>
    </row>
    <row r="134" spans="1:30" ht="10.5" customHeight="1" x14ac:dyDescent="0.25">
      <c r="A134" s="9">
        <v>133</v>
      </c>
      <c r="B134" s="13"/>
      <c r="C134" s="13"/>
      <c r="D134" s="13"/>
      <c r="E134" s="13"/>
      <c r="F134" s="13"/>
      <c r="G134" s="13"/>
      <c r="H134" s="13"/>
      <c r="I134" s="13"/>
      <c r="J134" s="13"/>
      <c r="K134" s="13"/>
      <c r="L134" s="13"/>
      <c r="M134" s="13"/>
      <c r="N134" s="10" t="s">
        <v>319</v>
      </c>
      <c r="O134" s="10" t="s">
        <v>318</v>
      </c>
      <c r="P134" s="13"/>
      <c r="Q134" s="13"/>
      <c r="R134" s="13"/>
      <c r="S134" s="10" t="s">
        <v>549</v>
      </c>
      <c r="T134" s="18" t="s">
        <v>548</v>
      </c>
      <c r="U134" s="13"/>
      <c r="V134" s="13"/>
      <c r="W134" s="13"/>
      <c r="X134" s="13"/>
      <c r="Y134" s="10"/>
      <c r="Z134" s="10" t="s">
        <v>1051</v>
      </c>
      <c r="AA134" s="10" t="s">
        <v>1192</v>
      </c>
      <c r="AB134" s="10"/>
      <c r="AC134" s="10"/>
      <c r="AD134" s="10"/>
    </row>
    <row r="135" spans="1:30" ht="10.5" customHeight="1" x14ac:dyDescent="0.25">
      <c r="A135" s="9">
        <v>134</v>
      </c>
      <c r="B135" s="13"/>
      <c r="C135" s="13"/>
      <c r="D135" s="13"/>
      <c r="E135" s="13"/>
      <c r="F135" s="13"/>
      <c r="G135" s="13"/>
      <c r="H135" s="13"/>
      <c r="I135" s="13"/>
      <c r="J135" s="13"/>
      <c r="K135" s="13"/>
      <c r="L135" s="13"/>
      <c r="M135" s="13"/>
      <c r="N135" s="10" t="s">
        <v>321</v>
      </c>
      <c r="O135" s="10" t="s">
        <v>320</v>
      </c>
      <c r="P135" s="13"/>
      <c r="Q135" s="13"/>
      <c r="R135" s="13"/>
      <c r="S135" s="10" t="s">
        <v>551</v>
      </c>
      <c r="T135" s="18" t="s">
        <v>550</v>
      </c>
      <c r="U135" s="13"/>
      <c r="V135" s="13"/>
      <c r="W135" s="13"/>
      <c r="X135" s="13"/>
      <c r="Y135" s="10"/>
      <c r="Z135" s="10" t="s">
        <v>1052</v>
      </c>
      <c r="AA135" s="10" t="s">
        <v>1193</v>
      </c>
      <c r="AB135" s="10"/>
      <c r="AC135" s="10"/>
      <c r="AD135" s="10"/>
    </row>
    <row r="136" spans="1:30" ht="10.5" customHeight="1" x14ac:dyDescent="0.25">
      <c r="A136" s="9">
        <v>135</v>
      </c>
      <c r="B136" s="13"/>
      <c r="C136" s="13"/>
      <c r="D136" s="13"/>
      <c r="E136" s="13"/>
      <c r="F136" s="13"/>
      <c r="G136" s="13"/>
      <c r="H136" s="13"/>
      <c r="I136" s="13"/>
      <c r="J136" s="13"/>
      <c r="K136" s="13"/>
      <c r="L136" s="13"/>
      <c r="M136" s="13"/>
      <c r="N136" s="10" t="s">
        <v>323</v>
      </c>
      <c r="O136" s="10" t="s">
        <v>322</v>
      </c>
      <c r="P136" s="13"/>
      <c r="Q136" s="13"/>
      <c r="R136" s="13"/>
      <c r="S136" s="10" t="s">
        <v>553</v>
      </c>
      <c r="T136" s="18" t="s">
        <v>552</v>
      </c>
      <c r="U136" s="13"/>
      <c r="V136" s="13"/>
      <c r="W136" s="13"/>
      <c r="X136" s="13"/>
      <c r="Y136" s="10"/>
      <c r="Z136" s="10" t="s">
        <v>1053</v>
      </c>
      <c r="AA136" s="10" t="s">
        <v>1194</v>
      </c>
      <c r="AB136" s="10"/>
      <c r="AC136" s="10"/>
      <c r="AD136" s="10"/>
    </row>
    <row r="137" spans="1:30" ht="10.5" customHeight="1" x14ac:dyDescent="0.25">
      <c r="A137" s="9">
        <v>136</v>
      </c>
      <c r="B137" s="13"/>
      <c r="C137" s="13"/>
      <c r="D137" s="13"/>
      <c r="E137" s="13"/>
      <c r="F137" s="13"/>
      <c r="G137" s="13"/>
      <c r="H137" s="13"/>
      <c r="I137" s="13"/>
      <c r="J137" s="13"/>
      <c r="K137" s="13"/>
      <c r="L137" s="13"/>
      <c r="M137" s="13"/>
      <c r="N137" s="10" t="s">
        <v>324</v>
      </c>
      <c r="O137" s="10" t="s">
        <v>43</v>
      </c>
      <c r="P137" s="13"/>
      <c r="Q137" s="13"/>
      <c r="R137" s="13"/>
      <c r="S137" s="10" t="s">
        <v>555</v>
      </c>
      <c r="T137" s="18" t="s">
        <v>554</v>
      </c>
      <c r="U137" s="13"/>
      <c r="V137" s="13"/>
      <c r="W137" s="13"/>
      <c r="X137" s="13"/>
      <c r="Y137" s="10"/>
      <c r="Z137" s="10" t="s">
        <v>1054</v>
      </c>
      <c r="AA137" s="10" t="s">
        <v>1195</v>
      </c>
      <c r="AB137" s="10"/>
      <c r="AC137" s="10"/>
      <c r="AD137" s="10"/>
    </row>
    <row r="138" spans="1:30" ht="10.5" customHeight="1" x14ac:dyDescent="0.25">
      <c r="A138" s="9">
        <v>137</v>
      </c>
      <c r="B138" s="13"/>
      <c r="C138" s="13"/>
      <c r="D138" s="13"/>
      <c r="E138" s="13"/>
      <c r="F138" s="13"/>
      <c r="G138" s="13"/>
      <c r="H138" s="13"/>
      <c r="I138" s="13"/>
      <c r="J138" s="13"/>
      <c r="K138" s="13"/>
      <c r="L138" s="13"/>
      <c r="M138" s="13"/>
      <c r="N138" s="10" t="s">
        <v>326</v>
      </c>
      <c r="O138" s="10" t="s">
        <v>325</v>
      </c>
      <c r="P138" s="13"/>
      <c r="Q138" s="13"/>
      <c r="R138" s="13"/>
      <c r="S138" s="10" t="s">
        <v>559</v>
      </c>
      <c r="T138" s="18" t="s">
        <v>558</v>
      </c>
      <c r="U138" s="13"/>
      <c r="V138" s="13"/>
      <c r="W138" s="13"/>
      <c r="X138" s="13"/>
      <c r="Y138" s="10"/>
      <c r="Z138" s="10" t="s">
        <v>1055</v>
      </c>
      <c r="AA138" s="10" t="s">
        <v>1196</v>
      </c>
      <c r="AB138" s="10"/>
      <c r="AC138" s="10"/>
      <c r="AD138" s="10"/>
    </row>
    <row r="139" spans="1:30" ht="10.5" customHeight="1" x14ac:dyDescent="0.25">
      <c r="A139" s="9">
        <v>138</v>
      </c>
      <c r="B139" s="13"/>
      <c r="C139" s="13"/>
      <c r="D139" s="13"/>
      <c r="E139" s="13"/>
      <c r="F139" s="13"/>
      <c r="G139" s="13"/>
      <c r="H139" s="13"/>
      <c r="I139" s="13"/>
      <c r="J139" s="13"/>
      <c r="K139" s="13"/>
      <c r="L139" s="13"/>
      <c r="M139" s="13"/>
      <c r="N139" s="10" t="s">
        <v>328</v>
      </c>
      <c r="O139" s="10" t="s">
        <v>327</v>
      </c>
      <c r="P139" s="13"/>
      <c r="Q139" s="13"/>
      <c r="R139" s="13"/>
      <c r="S139" s="10" t="s">
        <v>561</v>
      </c>
      <c r="T139" s="18" t="s">
        <v>560</v>
      </c>
      <c r="U139" s="13"/>
      <c r="V139" s="13"/>
      <c r="W139" s="13"/>
      <c r="X139" s="13"/>
      <c r="Y139" s="10"/>
      <c r="Z139" s="10" t="s">
        <v>1056</v>
      </c>
      <c r="AA139" s="10" t="s">
        <v>1197</v>
      </c>
      <c r="AB139" s="10"/>
      <c r="AC139" s="10"/>
      <c r="AD139" s="10"/>
    </row>
    <row r="140" spans="1:30" ht="10.5" customHeight="1" x14ac:dyDescent="0.25">
      <c r="A140" s="9">
        <v>139</v>
      </c>
      <c r="B140" s="13"/>
      <c r="C140" s="13"/>
      <c r="D140" s="13"/>
      <c r="E140" s="13"/>
      <c r="F140" s="13"/>
      <c r="G140" s="13"/>
      <c r="H140" s="13"/>
      <c r="I140" s="13"/>
      <c r="J140" s="13"/>
      <c r="K140" s="13"/>
      <c r="L140" s="13"/>
      <c r="M140" s="13"/>
      <c r="N140" s="10" t="s">
        <v>329</v>
      </c>
      <c r="O140" s="10" t="s">
        <v>47</v>
      </c>
      <c r="P140" s="13"/>
      <c r="Q140" s="13"/>
      <c r="R140" s="13"/>
      <c r="S140" s="10" t="s">
        <v>563</v>
      </c>
      <c r="T140" s="18" t="s">
        <v>562</v>
      </c>
      <c r="U140" s="13"/>
      <c r="V140" s="13"/>
      <c r="W140" s="13"/>
      <c r="X140" s="13"/>
      <c r="Y140" s="10"/>
      <c r="Z140" s="10" t="s">
        <v>1057</v>
      </c>
      <c r="AA140" s="10" t="s">
        <v>1198</v>
      </c>
      <c r="AB140" s="10"/>
      <c r="AC140" s="10"/>
      <c r="AD140" s="10"/>
    </row>
    <row r="141" spans="1:30" ht="10.5" customHeight="1" x14ac:dyDescent="0.25">
      <c r="A141" s="9">
        <v>140</v>
      </c>
      <c r="B141" s="13"/>
      <c r="C141" s="13"/>
      <c r="D141" s="13"/>
      <c r="E141" s="13"/>
      <c r="F141" s="13"/>
      <c r="G141" s="13"/>
      <c r="H141" s="13"/>
      <c r="I141" s="13"/>
      <c r="J141" s="13"/>
      <c r="K141" s="13"/>
      <c r="L141" s="13"/>
      <c r="M141" s="13"/>
      <c r="N141" s="10" t="s">
        <v>331</v>
      </c>
      <c r="O141" s="10" t="s">
        <v>330</v>
      </c>
      <c r="P141" s="13"/>
      <c r="Q141" s="13"/>
      <c r="R141" s="13"/>
      <c r="S141" s="10" t="s">
        <v>565</v>
      </c>
      <c r="T141" s="18" t="s">
        <v>564</v>
      </c>
      <c r="U141" s="13"/>
      <c r="V141" s="13"/>
      <c r="W141" s="13"/>
      <c r="X141" s="13"/>
      <c r="Y141" s="10"/>
      <c r="Z141" s="13"/>
      <c r="AA141" s="13"/>
      <c r="AB141" s="13"/>
      <c r="AC141" s="13"/>
      <c r="AD141" s="13"/>
    </row>
    <row r="142" spans="1:30" ht="10.5" customHeight="1" x14ac:dyDescent="0.25">
      <c r="A142" s="9">
        <v>141</v>
      </c>
      <c r="B142" s="13"/>
      <c r="C142" s="13"/>
      <c r="D142" s="13"/>
      <c r="E142" s="13"/>
      <c r="F142" s="13"/>
      <c r="G142" s="13"/>
      <c r="H142" s="13"/>
      <c r="I142" s="13"/>
      <c r="J142" s="13"/>
      <c r="K142" s="13"/>
      <c r="L142" s="13"/>
      <c r="M142" s="13"/>
      <c r="N142" s="10" t="s">
        <v>333</v>
      </c>
      <c r="O142" s="10" t="s">
        <v>332</v>
      </c>
      <c r="P142" s="13"/>
      <c r="Q142" s="13"/>
      <c r="R142" s="13"/>
      <c r="S142" s="10" t="s">
        <v>567</v>
      </c>
      <c r="T142" s="18" t="s">
        <v>566</v>
      </c>
      <c r="U142" s="13"/>
      <c r="V142" s="13"/>
      <c r="W142" s="13"/>
      <c r="X142" s="13"/>
      <c r="Y142" s="10"/>
      <c r="Z142" s="13"/>
      <c r="AA142" s="13"/>
      <c r="AB142" s="13"/>
      <c r="AC142" s="13"/>
      <c r="AD142" s="13"/>
    </row>
    <row r="143" spans="1:30" ht="10.5" customHeight="1" x14ac:dyDescent="0.25">
      <c r="A143" s="9">
        <v>142</v>
      </c>
      <c r="B143" s="13"/>
      <c r="C143" s="13"/>
      <c r="D143" s="13"/>
      <c r="E143" s="13"/>
      <c r="F143" s="13"/>
      <c r="G143" s="13"/>
      <c r="H143" s="13"/>
      <c r="I143" s="13"/>
      <c r="J143" s="13"/>
      <c r="K143" s="13"/>
      <c r="L143" s="13"/>
      <c r="M143" s="13"/>
      <c r="N143" s="10" t="s">
        <v>335</v>
      </c>
      <c r="O143" s="10" t="s">
        <v>334</v>
      </c>
      <c r="P143" s="13"/>
      <c r="Q143" s="13"/>
      <c r="R143" s="13"/>
      <c r="S143" s="10" t="s">
        <v>571</v>
      </c>
      <c r="T143" s="18" t="s">
        <v>570</v>
      </c>
      <c r="U143" s="13"/>
      <c r="V143" s="13"/>
      <c r="W143" s="13"/>
      <c r="X143" s="13"/>
      <c r="Y143" s="10"/>
      <c r="Z143" s="13"/>
      <c r="AA143" s="13"/>
      <c r="AB143" s="13"/>
      <c r="AC143" s="13"/>
      <c r="AD143" s="13"/>
    </row>
    <row r="144" spans="1:30" ht="10.5" customHeight="1" x14ac:dyDescent="0.25">
      <c r="A144" s="9">
        <v>143</v>
      </c>
      <c r="B144" s="13"/>
      <c r="C144" s="13"/>
      <c r="D144" s="13"/>
      <c r="E144" s="13"/>
      <c r="F144" s="13"/>
      <c r="G144" s="13"/>
      <c r="H144" s="13"/>
      <c r="I144" s="13"/>
      <c r="J144" s="13"/>
      <c r="K144" s="13"/>
      <c r="L144" s="13"/>
      <c r="M144" s="13"/>
      <c r="N144" s="10" t="s">
        <v>337</v>
      </c>
      <c r="O144" s="10" t="s">
        <v>336</v>
      </c>
      <c r="P144" s="13"/>
      <c r="Q144" s="13"/>
      <c r="R144" s="13"/>
      <c r="S144" s="10" t="s">
        <v>573</v>
      </c>
      <c r="T144" s="18" t="s">
        <v>572</v>
      </c>
      <c r="U144" s="13"/>
      <c r="V144" s="13"/>
      <c r="W144" s="13"/>
      <c r="X144" s="13"/>
      <c r="Y144" s="10"/>
      <c r="Z144" s="13"/>
      <c r="AA144" s="13"/>
      <c r="AB144" s="13"/>
      <c r="AC144" s="13"/>
      <c r="AD144" s="13"/>
    </row>
    <row r="145" spans="1:30" ht="10.5" customHeight="1" x14ac:dyDescent="0.25">
      <c r="A145" s="9">
        <v>144</v>
      </c>
      <c r="B145" s="13"/>
      <c r="C145" s="13"/>
      <c r="D145" s="13"/>
      <c r="E145" s="13"/>
      <c r="F145" s="13"/>
      <c r="G145" s="13"/>
      <c r="H145" s="13"/>
      <c r="I145" s="13"/>
      <c r="J145" s="13"/>
      <c r="K145" s="13"/>
      <c r="L145" s="13"/>
      <c r="M145" s="13"/>
      <c r="N145" s="10" t="s">
        <v>88</v>
      </c>
      <c r="O145" s="10" t="s">
        <v>18</v>
      </c>
      <c r="P145" s="13"/>
      <c r="Q145" s="13"/>
      <c r="R145" s="13"/>
      <c r="S145" s="10" t="s">
        <v>577</v>
      </c>
      <c r="T145" s="18" t="s">
        <v>576</v>
      </c>
      <c r="U145" s="13"/>
      <c r="V145" s="13"/>
      <c r="W145" s="13"/>
      <c r="X145" s="13"/>
      <c r="Y145" s="10"/>
      <c r="Z145" s="13"/>
      <c r="AA145" s="13"/>
      <c r="AB145" s="13"/>
      <c r="AC145" s="13"/>
      <c r="AD145" s="13"/>
    </row>
    <row r="146" spans="1:30" ht="10.5" customHeight="1" x14ac:dyDescent="0.25">
      <c r="A146" s="9">
        <v>145</v>
      </c>
      <c r="B146" s="13"/>
      <c r="C146" s="13"/>
      <c r="D146" s="13"/>
      <c r="E146" s="13"/>
      <c r="F146" s="13"/>
      <c r="G146" s="13"/>
      <c r="H146" s="13"/>
      <c r="I146" s="13"/>
      <c r="J146" s="13"/>
      <c r="K146" s="13"/>
      <c r="L146" s="13"/>
      <c r="M146" s="13"/>
      <c r="N146" s="10" t="s">
        <v>340</v>
      </c>
      <c r="O146" s="10" t="s">
        <v>339</v>
      </c>
      <c r="P146" s="13"/>
      <c r="Q146" s="13"/>
      <c r="R146" s="13"/>
      <c r="S146" s="10" t="s">
        <v>581</v>
      </c>
      <c r="T146" s="18" t="s">
        <v>580</v>
      </c>
      <c r="U146" s="13"/>
      <c r="V146" s="13"/>
      <c r="W146" s="13"/>
      <c r="X146" s="13"/>
      <c r="Y146" s="10"/>
      <c r="Z146" s="13"/>
      <c r="AA146" s="13"/>
      <c r="AB146" s="13"/>
      <c r="AC146" s="13"/>
      <c r="AD146" s="13"/>
    </row>
    <row r="147" spans="1:30" ht="10.5" customHeight="1" x14ac:dyDescent="0.25">
      <c r="A147" s="9">
        <v>146</v>
      </c>
      <c r="B147" s="13"/>
      <c r="C147" s="13"/>
      <c r="D147" s="13"/>
      <c r="E147" s="13"/>
      <c r="F147" s="13"/>
      <c r="G147" s="13"/>
      <c r="H147" s="13"/>
      <c r="I147" s="13"/>
      <c r="J147" s="13"/>
      <c r="K147" s="13"/>
      <c r="L147" s="13"/>
      <c r="M147" s="13"/>
      <c r="N147" s="10" t="s">
        <v>342</v>
      </c>
      <c r="O147" s="10" t="s">
        <v>341</v>
      </c>
      <c r="P147" s="13"/>
      <c r="Q147" s="13"/>
      <c r="R147" s="13"/>
      <c r="S147" s="10" t="s">
        <v>591</v>
      </c>
      <c r="T147" s="18" t="s">
        <v>590</v>
      </c>
      <c r="U147" s="13"/>
      <c r="V147" s="13"/>
      <c r="W147" s="13"/>
      <c r="X147" s="13"/>
      <c r="Y147" s="10"/>
      <c r="Z147" s="13"/>
      <c r="AA147" s="13"/>
      <c r="AB147" s="13"/>
      <c r="AC147" s="13"/>
      <c r="AD147" s="13"/>
    </row>
    <row r="148" spans="1:30" ht="10.5" customHeight="1" x14ac:dyDescent="0.25">
      <c r="A148" s="9">
        <v>147</v>
      </c>
      <c r="B148" s="13"/>
      <c r="C148" s="13"/>
      <c r="D148" s="13"/>
      <c r="E148" s="13"/>
      <c r="F148" s="13"/>
      <c r="G148" s="13"/>
      <c r="H148" s="13"/>
      <c r="I148" s="13"/>
      <c r="J148" s="13"/>
      <c r="K148" s="13"/>
      <c r="L148" s="13"/>
      <c r="M148" s="13"/>
      <c r="N148" s="10" t="s">
        <v>344</v>
      </c>
      <c r="O148" s="10" t="s">
        <v>343</v>
      </c>
      <c r="P148" s="13"/>
      <c r="Q148" s="13"/>
      <c r="R148" s="13"/>
      <c r="S148" s="10" t="s">
        <v>593</v>
      </c>
      <c r="T148" s="18" t="s">
        <v>592</v>
      </c>
      <c r="U148" s="13"/>
      <c r="V148" s="13"/>
      <c r="W148" s="13"/>
      <c r="X148" s="13"/>
      <c r="Y148" s="10"/>
      <c r="Z148" s="13"/>
      <c r="AA148" s="13"/>
      <c r="AB148" s="13"/>
      <c r="AC148" s="13"/>
      <c r="AD148" s="13"/>
    </row>
    <row r="149" spans="1:30" ht="10.5" customHeight="1" x14ac:dyDescent="0.25">
      <c r="A149" s="9">
        <v>148</v>
      </c>
      <c r="B149" s="13"/>
      <c r="C149" s="13"/>
      <c r="D149" s="13"/>
      <c r="E149" s="13"/>
      <c r="F149" s="13"/>
      <c r="G149" s="13"/>
      <c r="H149" s="13"/>
      <c r="I149" s="13"/>
      <c r="J149" s="13"/>
      <c r="K149" s="13"/>
      <c r="L149" s="13"/>
      <c r="M149" s="13"/>
      <c r="N149" s="10" t="s">
        <v>346</v>
      </c>
      <c r="O149" s="10" t="s">
        <v>345</v>
      </c>
      <c r="P149" s="13"/>
      <c r="Q149" s="13"/>
      <c r="R149" s="13"/>
      <c r="S149" s="10" t="s">
        <v>595</v>
      </c>
      <c r="T149" s="18" t="s">
        <v>594</v>
      </c>
      <c r="U149" s="13"/>
      <c r="V149" s="13"/>
      <c r="W149" s="13"/>
      <c r="X149" s="13"/>
      <c r="Y149" s="10"/>
      <c r="Z149" s="13"/>
      <c r="AA149" s="13"/>
      <c r="AB149" s="13"/>
      <c r="AC149" s="13"/>
      <c r="AD149" s="13"/>
    </row>
    <row r="150" spans="1:30" ht="10.5" customHeight="1" x14ac:dyDescent="0.25">
      <c r="A150" s="9">
        <v>149</v>
      </c>
      <c r="B150" s="13"/>
      <c r="C150" s="13"/>
      <c r="D150" s="13"/>
      <c r="E150" s="13"/>
      <c r="F150" s="13"/>
      <c r="G150" s="13"/>
      <c r="H150" s="13"/>
      <c r="I150" s="13"/>
      <c r="J150" s="13"/>
      <c r="K150" s="13"/>
      <c r="L150" s="13"/>
      <c r="M150" s="13"/>
      <c r="N150" s="10" t="s">
        <v>347</v>
      </c>
      <c r="O150" s="10" t="s">
        <v>44</v>
      </c>
      <c r="P150" s="13"/>
      <c r="Q150" s="13"/>
      <c r="R150" s="13"/>
      <c r="S150" s="10" t="s">
        <v>603</v>
      </c>
      <c r="T150" s="18" t="s">
        <v>602</v>
      </c>
      <c r="U150" s="13"/>
      <c r="V150" s="13"/>
      <c r="W150" s="13"/>
      <c r="X150" s="13"/>
      <c r="Y150" s="10"/>
      <c r="Z150" s="13"/>
      <c r="AA150" s="13"/>
      <c r="AB150" s="13"/>
      <c r="AC150" s="13"/>
      <c r="AD150" s="13"/>
    </row>
    <row r="151" spans="1:30" ht="10.5" customHeight="1" x14ac:dyDescent="0.25">
      <c r="A151" s="9">
        <v>150</v>
      </c>
      <c r="B151" s="13"/>
      <c r="C151" s="13"/>
      <c r="D151" s="13"/>
      <c r="E151" s="13"/>
      <c r="F151" s="13"/>
      <c r="G151" s="13"/>
      <c r="H151" s="13"/>
      <c r="I151" s="13"/>
      <c r="J151" s="13"/>
      <c r="K151" s="13"/>
      <c r="L151" s="13"/>
      <c r="M151" s="13"/>
      <c r="N151" s="10" t="s">
        <v>349</v>
      </c>
      <c r="O151" s="10" t="s">
        <v>348</v>
      </c>
      <c r="P151" s="13"/>
      <c r="Q151" s="13"/>
      <c r="R151" s="13"/>
      <c r="S151" s="10" t="s">
        <v>605</v>
      </c>
      <c r="T151" s="18" t="s">
        <v>604</v>
      </c>
      <c r="U151" s="13"/>
      <c r="V151" s="13"/>
      <c r="W151" s="13"/>
      <c r="X151" s="13"/>
      <c r="Y151" s="10"/>
      <c r="Z151" s="13"/>
      <c r="AA151" s="13"/>
      <c r="AB151" s="13"/>
      <c r="AC151" s="13"/>
      <c r="AD151" s="13"/>
    </row>
    <row r="152" spans="1:30" ht="10.5" customHeight="1" x14ac:dyDescent="0.25">
      <c r="A152" s="9">
        <v>151</v>
      </c>
      <c r="B152" s="13"/>
      <c r="C152" s="13"/>
      <c r="D152" s="13"/>
      <c r="E152" s="13"/>
      <c r="F152" s="13"/>
      <c r="G152" s="13"/>
      <c r="H152" s="13"/>
      <c r="I152" s="13"/>
      <c r="J152" s="13"/>
      <c r="K152" s="13"/>
      <c r="L152" s="13"/>
      <c r="M152" s="13"/>
      <c r="N152" s="10" t="s">
        <v>351</v>
      </c>
      <c r="O152" s="10" t="s">
        <v>350</v>
      </c>
      <c r="P152" s="13"/>
      <c r="Q152" s="13"/>
      <c r="R152" s="13"/>
      <c r="S152" s="10" t="s">
        <v>609</v>
      </c>
      <c r="T152" s="18" t="s">
        <v>608</v>
      </c>
      <c r="U152" s="13"/>
      <c r="V152" s="13"/>
      <c r="W152" s="13"/>
      <c r="X152" s="13"/>
      <c r="Y152" s="10"/>
      <c r="Z152" s="13"/>
      <c r="AA152" s="13"/>
      <c r="AB152" s="13"/>
      <c r="AC152" s="13"/>
      <c r="AD152" s="13"/>
    </row>
    <row r="153" spans="1:30" ht="10.5" customHeight="1" x14ac:dyDescent="0.25">
      <c r="A153" s="9">
        <v>152</v>
      </c>
      <c r="B153" s="13"/>
      <c r="C153" s="13"/>
      <c r="D153" s="13"/>
      <c r="E153" s="13"/>
      <c r="F153" s="13"/>
      <c r="G153" s="13"/>
      <c r="H153" s="13"/>
      <c r="I153" s="13"/>
      <c r="J153" s="13"/>
      <c r="K153" s="13"/>
      <c r="L153" s="13"/>
      <c r="M153" s="13"/>
      <c r="N153" s="10" t="s">
        <v>353</v>
      </c>
      <c r="O153" s="10" t="s">
        <v>352</v>
      </c>
      <c r="P153" s="13"/>
      <c r="Q153" s="13"/>
      <c r="R153" s="13"/>
      <c r="S153" s="10" t="s">
        <v>611</v>
      </c>
      <c r="T153" s="18" t="s">
        <v>610</v>
      </c>
      <c r="U153" s="13"/>
      <c r="V153" s="13"/>
      <c r="W153" s="13"/>
      <c r="X153" s="13"/>
      <c r="Y153" s="10"/>
      <c r="Z153" s="13"/>
      <c r="AA153" s="13"/>
      <c r="AB153" s="13"/>
      <c r="AC153" s="13"/>
      <c r="AD153" s="13"/>
    </row>
    <row r="154" spans="1:30" ht="10.5" customHeight="1" x14ac:dyDescent="0.25">
      <c r="A154" s="9">
        <v>153</v>
      </c>
      <c r="B154" s="13"/>
      <c r="C154" s="13"/>
      <c r="D154" s="13"/>
      <c r="E154" s="13"/>
      <c r="F154" s="13"/>
      <c r="G154" s="13"/>
      <c r="H154" s="13"/>
      <c r="I154" s="13"/>
      <c r="J154" s="13"/>
      <c r="K154" s="13"/>
      <c r="L154" s="13"/>
      <c r="M154" s="13"/>
      <c r="N154" s="10" t="s">
        <v>354</v>
      </c>
      <c r="O154" s="10" t="s">
        <v>45</v>
      </c>
      <c r="P154" s="13"/>
      <c r="Q154" s="13"/>
      <c r="R154" s="13"/>
      <c r="S154" s="10" t="s">
        <v>613</v>
      </c>
      <c r="T154" s="18" t="s">
        <v>612</v>
      </c>
      <c r="U154" s="13"/>
      <c r="V154" s="13"/>
      <c r="W154" s="13"/>
      <c r="X154" s="13"/>
      <c r="Y154" s="10"/>
      <c r="Z154" s="13"/>
      <c r="AA154" s="13"/>
      <c r="AB154" s="13"/>
      <c r="AC154" s="13"/>
      <c r="AD154" s="13"/>
    </row>
    <row r="155" spans="1:30" ht="10.5" customHeight="1" x14ac:dyDescent="0.25">
      <c r="A155" s="9">
        <v>154</v>
      </c>
      <c r="B155" s="13"/>
      <c r="C155" s="13"/>
      <c r="D155" s="13"/>
      <c r="E155" s="13"/>
      <c r="F155" s="13"/>
      <c r="G155" s="13"/>
      <c r="H155" s="13"/>
      <c r="I155" s="13"/>
      <c r="J155" s="13"/>
      <c r="K155" s="13"/>
      <c r="L155" s="13"/>
      <c r="M155" s="13"/>
      <c r="N155" s="10" t="s">
        <v>356</v>
      </c>
      <c r="O155" s="10" t="s">
        <v>355</v>
      </c>
      <c r="P155" s="13"/>
      <c r="Q155" s="13"/>
      <c r="R155" s="13"/>
      <c r="S155" s="10" t="s">
        <v>615</v>
      </c>
      <c r="T155" s="18" t="s">
        <v>614</v>
      </c>
      <c r="U155" s="13"/>
      <c r="V155" s="13"/>
      <c r="W155" s="13"/>
      <c r="X155" s="13"/>
      <c r="Y155" s="10"/>
      <c r="Z155" s="13"/>
      <c r="AA155" s="13"/>
      <c r="AB155" s="13"/>
      <c r="AC155" s="13"/>
      <c r="AD155" s="13"/>
    </row>
    <row r="156" spans="1:30" ht="10.5" customHeight="1" x14ac:dyDescent="0.25">
      <c r="A156" s="9">
        <v>155</v>
      </c>
      <c r="B156" s="13"/>
      <c r="C156" s="13"/>
      <c r="D156" s="13"/>
      <c r="E156" s="13"/>
      <c r="F156" s="13"/>
      <c r="G156" s="13"/>
      <c r="H156" s="13"/>
      <c r="I156" s="13"/>
      <c r="J156" s="13"/>
      <c r="K156" s="13"/>
      <c r="L156" s="13"/>
      <c r="M156" s="13"/>
      <c r="N156" s="10" t="s">
        <v>358</v>
      </c>
      <c r="O156" s="10" t="s">
        <v>357</v>
      </c>
      <c r="P156" s="13"/>
      <c r="Q156" s="13"/>
      <c r="R156" s="13"/>
      <c r="S156" s="10" t="s">
        <v>617</v>
      </c>
      <c r="T156" s="18" t="s">
        <v>616</v>
      </c>
      <c r="U156" s="13"/>
      <c r="V156" s="13"/>
      <c r="W156" s="13"/>
      <c r="X156" s="13"/>
      <c r="Y156" s="10"/>
      <c r="Z156" s="13"/>
      <c r="AA156" s="13"/>
      <c r="AB156" s="13"/>
      <c r="AC156" s="13"/>
      <c r="AD156" s="13"/>
    </row>
    <row r="157" spans="1:30" ht="10.5" customHeight="1" x14ac:dyDescent="0.25">
      <c r="A157" s="9">
        <v>156</v>
      </c>
      <c r="B157" s="13"/>
      <c r="C157" s="13"/>
      <c r="D157" s="13"/>
      <c r="E157" s="13"/>
      <c r="F157" s="13"/>
      <c r="G157" s="13"/>
      <c r="H157" s="13"/>
      <c r="I157" s="13"/>
      <c r="J157" s="13"/>
      <c r="K157" s="13"/>
      <c r="L157" s="13"/>
      <c r="M157" s="13"/>
      <c r="N157" s="10" t="s">
        <v>360</v>
      </c>
      <c r="O157" s="10" t="s">
        <v>359</v>
      </c>
      <c r="P157" s="13"/>
      <c r="Q157" s="13"/>
      <c r="R157" s="13"/>
      <c r="S157" s="10" t="s">
        <v>619</v>
      </c>
      <c r="T157" s="18" t="s">
        <v>618</v>
      </c>
      <c r="U157" s="13"/>
      <c r="V157" s="13"/>
      <c r="W157" s="13"/>
      <c r="X157" s="13"/>
      <c r="Y157" s="10"/>
      <c r="Z157" s="13"/>
      <c r="AA157" s="13"/>
      <c r="AB157" s="13"/>
      <c r="AC157" s="13"/>
      <c r="AD157" s="13"/>
    </row>
    <row r="158" spans="1:30" ht="10.5" customHeight="1" x14ac:dyDescent="0.25">
      <c r="A158" s="9">
        <v>157</v>
      </c>
      <c r="B158" s="13"/>
      <c r="C158" s="13"/>
      <c r="D158" s="13"/>
      <c r="E158" s="13"/>
      <c r="F158" s="13"/>
      <c r="G158" s="13"/>
      <c r="H158" s="13"/>
      <c r="I158" s="13"/>
      <c r="J158" s="13"/>
      <c r="K158" s="13"/>
      <c r="L158" s="13"/>
      <c r="M158" s="13"/>
      <c r="N158" s="10" t="s">
        <v>362</v>
      </c>
      <c r="O158" s="10" t="s">
        <v>361</v>
      </c>
      <c r="P158" s="13"/>
      <c r="Q158" s="13"/>
      <c r="R158" s="13"/>
      <c r="S158" s="10" t="s">
        <v>621</v>
      </c>
      <c r="T158" s="18" t="s">
        <v>620</v>
      </c>
      <c r="U158" s="13"/>
      <c r="V158" s="13"/>
      <c r="W158" s="13"/>
      <c r="X158" s="13"/>
      <c r="Y158" s="10"/>
      <c r="Z158" s="13"/>
      <c r="AA158" s="13"/>
      <c r="AB158" s="13"/>
      <c r="AC158" s="13"/>
      <c r="AD158" s="13"/>
    </row>
    <row r="159" spans="1:30" ht="10.5" customHeight="1" x14ac:dyDescent="0.25">
      <c r="A159" s="9">
        <v>158</v>
      </c>
      <c r="B159" s="13"/>
      <c r="C159" s="13"/>
      <c r="D159" s="13"/>
      <c r="E159" s="13"/>
      <c r="F159" s="13"/>
      <c r="G159" s="13"/>
      <c r="H159" s="13"/>
      <c r="I159" s="13"/>
      <c r="J159" s="13"/>
      <c r="K159" s="13"/>
      <c r="L159" s="13"/>
      <c r="M159" s="13"/>
      <c r="N159" s="10" t="s">
        <v>363</v>
      </c>
      <c r="O159" s="10" t="s">
        <v>13</v>
      </c>
      <c r="P159" s="13"/>
      <c r="Q159" s="13"/>
      <c r="R159" s="13"/>
      <c r="S159" s="10" t="s">
        <v>631</v>
      </c>
      <c r="T159" s="18" t="s">
        <v>630</v>
      </c>
      <c r="U159" s="13"/>
      <c r="V159" s="13"/>
      <c r="W159" s="13"/>
      <c r="X159" s="13"/>
      <c r="Y159" s="10"/>
      <c r="Z159" s="13"/>
      <c r="AA159" s="13"/>
      <c r="AB159" s="13"/>
      <c r="AC159" s="13"/>
      <c r="AD159" s="13"/>
    </row>
    <row r="160" spans="1:30" ht="10.5" customHeight="1" x14ac:dyDescent="0.25">
      <c r="A160" s="9">
        <v>159</v>
      </c>
      <c r="B160" s="13"/>
      <c r="C160" s="13"/>
      <c r="D160" s="13"/>
      <c r="E160" s="13"/>
      <c r="F160" s="13"/>
      <c r="G160" s="13"/>
      <c r="H160" s="13"/>
      <c r="I160" s="13"/>
      <c r="J160" s="13"/>
      <c r="K160" s="13"/>
      <c r="L160" s="13"/>
      <c r="M160" s="13"/>
      <c r="N160" s="10" t="s">
        <v>365</v>
      </c>
      <c r="O160" s="10" t="s">
        <v>364</v>
      </c>
      <c r="P160" s="13"/>
      <c r="Q160" s="13"/>
      <c r="R160" s="13"/>
      <c r="S160" s="10" t="s">
        <v>633</v>
      </c>
      <c r="T160" s="18" t="s">
        <v>632</v>
      </c>
      <c r="U160" s="13"/>
      <c r="V160" s="13"/>
      <c r="W160" s="13"/>
      <c r="X160" s="13"/>
      <c r="Y160" s="10"/>
      <c r="Z160" s="13"/>
      <c r="AA160" s="13"/>
      <c r="AB160" s="13"/>
      <c r="AC160" s="13"/>
      <c r="AD160" s="13"/>
    </row>
    <row r="161" spans="1:30" ht="10.5" customHeight="1" x14ac:dyDescent="0.25">
      <c r="A161" s="9">
        <v>160</v>
      </c>
      <c r="B161" s="13"/>
      <c r="C161" s="13"/>
      <c r="D161" s="13"/>
      <c r="E161" s="13"/>
      <c r="F161" s="13"/>
      <c r="G161" s="13"/>
      <c r="H161" s="13"/>
      <c r="I161" s="13"/>
      <c r="J161" s="13"/>
      <c r="K161" s="13"/>
      <c r="L161" s="13"/>
      <c r="M161" s="13"/>
      <c r="N161" s="10" t="s">
        <v>367</v>
      </c>
      <c r="O161" s="10" t="s">
        <v>366</v>
      </c>
      <c r="P161" s="13"/>
      <c r="Q161" s="13"/>
      <c r="R161" s="13"/>
      <c r="S161" s="10" t="s">
        <v>635</v>
      </c>
      <c r="T161" s="18" t="s">
        <v>634</v>
      </c>
      <c r="U161" s="13"/>
      <c r="V161" s="13"/>
      <c r="W161" s="13"/>
      <c r="X161" s="13"/>
      <c r="Y161" s="10"/>
      <c r="Z161" s="13"/>
      <c r="AA161" s="13"/>
      <c r="AB161" s="13"/>
      <c r="AC161" s="13"/>
      <c r="AD161" s="13"/>
    </row>
    <row r="162" spans="1:30" ht="10.5" customHeight="1" x14ac:dyDescent="0.25">
      <c r="A162" s="9">
        <v>161</v>
      </c>
      <c r="B162" s="13"/>
      <c r="C162" s="13"/>
      <c r="D162" s="13"/>
      <c r="E162" s="13"/>
      <c r="F162" s="13"/>
      <c r="G162" s="13"/>
      <c r="H162" s="13"/>
      <c r="I162" s="13"/>
      <c r="J162" s="13"/>
      <c r="K162" s="13"/>
      <c r="L162" s="13"/>
      <c r="M162" s="13"/>
      <c r="N162" s="10" t="s">
        <v>369</v>
      </c>
      <c r="O162" s="10" t="s">
        <v>368</v>
      </c>
      <c r="P162" s="13"/>
      <c r="Q162" s="13"/>
      <c r="R162" s="13"/>
      <c r="S162" s="10" t="s">
        <v>639</v>
      </c>
      <c r="T162" s="18" t="s">
        <v>638</v>
      </c>
      <c r="U162" s="13"/>
      <c r="V162" s="13"/>
      <c r="W162" s="13"/>
      <c r="X162" s="13"/>
      <c r="Y162" s="10"/>
      <c r="Z162" s="13"/>
      <c r="AA162" s="13"/>
      <c r="AB162" s="13"/>
      <c r="AC162" s="13"/>
      <c r="AD162" s="13"/>
    </row>
    <row r="163" spans="1:30" ht="10.5" customHeight="1" x14ac:dyDescent="0.25">
      <c r="A163" s="9">
        <v>162</v>
      </c>
      <c r="B163" s="13"/>
      <c r="C163" s="13"/>
      <c r="D163" s="13"/>
      <c r="E163" s="13"/>
      <c r="F163" s="13"/>
      <c r="G163" s="13"/>
      <c r="H163" s="13"/>
      <c r="I163" s="13"/>
      <c r="J163" s="13"/>
      <c r="K163" s="13"/>
      <c r="L163" s="13"/>
      <c r="M163" s="13"/>
      <c r="N163" s="10" t="s">
        <v>371</v>
      </c>
      <c r="O163" s="10" t="s">
        <v>370</v>
      </c>
      <c r="P163" s="13"/>
      <c r="Q163" s="13"/>
      <c r="R163" s="13"/>
      <c r="S163" s="10" t="s">
        <v>643</v>
      </c>
      <c r="T163" s="18" t="s">
        <v>642</v>
      </c>
      <c r="U163" s="13"/>
      <c r="V163" s="13"/>
      <c r="W163" s="13"/>
      <c r="X163" s="13"/>
      <c r="Y163" s="10"/>
      <c r="Z163" s="13"/>
      <c r="AA163" s="13"/>
      <c r="AB163" s="13"/>
      <c r="AC163" s="13"/>
      <c r="AD163" s="13"/>
    </row>
    <row r="164" spans="1:30" ht="10.5" customHeight="1" x14ac:dyDescent="0.25">
      <c r="A164" s="9">
        <v>163</v>
      </c>
      <c r="B164" s="13"/>
      <c r="C164" s="13"/>
      <c r="D164" s="13"/>
      <c r="E164" s="13"/>
      <c r="F164" s="13"/>
      <c r="G164" s="13"/>
      <c r="H164" s="13"/>
      <c r="I164" s="13"/>
      <c r="J164" s="13"/>
      <c r="K164" s="13"/>
      <c r="L164" s="13"/>
      <c r="M164" s="13"/>
      <c r="N164" s="10" t="s">
        <v>373</v>
      </c>
      <c r="O164" s="10" t="s">
        <v>372</v>
      </c>
      <c r="P164" s="13"/>
      <c r="Q164" s="13"/>
      <c r="R164" s="13"/>
      <c r="S164" s="10" t="s">
        <v>651</v>
      </c>
      <c r="T164" s="18" t="s">
        <v>650</v>
      </c>
      <c r="U164" s="13"/>
      <c r="V164" s="13"/>
      <c r="W164" s="13"/>
      <c r="X164" s="13"/>
      <c r="Y164" s="10"/>
      <c r="Z164" s="13"/>
      <c r="AA164" s="13"/>
      <c r="AB164" s="13"/>
      <c r="AC164" s="13"/>
      <c r="AD164" s="13"/>
    </row>
    <row r="165" spans="1:30" ht="10.5" customHeight="1" x14ac:dyDescent="0.25">
      <c r="A165" s="9">
        <v>164</v>
      </c>
      <c r="B165" s="13"/>
      <c r="C165" s="13"/>
      <c r="D165" s="13"/>
      <c r="E165" s="13"/>
      <c r="F165" s="13"/>
      <c r="G165" s="13"/>
      <c r="H165" s="13"/>
      <c r="I165" s="13"/>
      <c r="J165" s="13"/>
      <c r="K165" s="13"/>
      <c r="L165" s="13"/>
      <c r="M165" s="13"/>
      <c r="N165" s="10" t="s">
        <v>375</v>
      </c>
      <c r="O165" s="10" t="s">
        <v>374</v>
      </c>
      <c r="P165" s="13"/>
      <c r="Q165" s="13"/>
      <c r="R165" s="13"/>
      <c r="S165" s="10" t="s">
        <v>653</v>
      </c>
      <c r="T165" s="18" t="s">
        <v>652</v>
      </c>
      <c r="U165" s="13"/>
      <c r="V165" s="13"/>
      <c r="W165" s="13"/>
      <c r="X165" s="13"/>
      <c r="Y165" s="10"/>
      <c r="Z165" s="13"/>
      <c r="AA165" s="13"/>
      <c r="AB165" s="13"/>
      <c r="AC165" s="13"/>
      <c r="AD165" s="13"/>
    </row>
    <row r="166" spans="1:30" ht="10.5" customHeight="1" x14ac:dyDescent="0.25">
      <c r="A166" s="9">
        <v>165</v>
      </c>
      <c r="B166" s="13"/>
      <c r="C166" s="13"/>
      <c r="D166" s="13"/>
      <c r="E166" s="13"/>
      <c r="F166" s="13"/>
      <c r="G166" s="13"/>
      <c r="H166" s="13"/>
      <c r="I166" s="13"/>
      <c r="J166" s="13"/>
      <c r="K166" s="13"/>
      <c r="L166" s="13"/>
      <c r="M166" s="13"/>
      <c r="N166" s="10" t="s">
        <v>377</v>
      </c>
      <c r="O166" s="10" t="s">
        <v>376</v>
      </c>
      <c r="P166" s="13"/>
      <c r="Q166" s="13"/>
      <c r="R166" s="13"/>
      <c r="S166" s="10" t="s">
        <v>661</v>
      </c>
      <c r="T166" s="18" t="s">
        <v>660</v>
      </c>
      <c r="U166" s="13"/>
      <c r="V166" s="13"/>
      <c r="W166" s="13"/>
      <c r="X166" s="13"/>
      <c r="Y166" s="10"/>
      <c r="Z166" s="13"/>
      <c r="AA166" s="13"/>
      <c r="AB166" s="13"/>
      <c r="AC166" s="13"/>
      <c r="AD166" s="13"/>
    </row>
    <row r="167" spans="1:30" ht="10.5" customHeight="1" x14ac:dyDescent="0.25">
      <c r="A167" s="9">
        <v>166</v>
      </c>
      <c r="B167" s="13"/>
      <c r="C167" s="13"/>
      <c r="D167" s="13"/>
      <c r="E167" s="13"/>
      <c r="F167" s="13"/>
      <c r="G167" s="13"/>
      <c r="H167" s="13"/>
      <c r="I167" s="13"/>
      <c r="J167" s="13"/>
      <c r="K167" s="13"/>
      <c r="L167" s="13"/>
      <c r="M167" s="13"/>
      <c r="N167" s="10" t="s">
        <v>379</v>
      </c>
      <c r="O167" s="10" t="s">
        <v>378</v>
      </c>
      <c r="P167" s="13"/>
      <c r="Q167" s="13"/>
      <c r="R167" s="13"/>
      <c r="S167" s="10" t="s">
        <v>663</v>
      </c>
      <c r="T167" s="18" t="s">
        <v>662</v>
      </c>
      <c r="U167" s="13"/>
      <c r="V167" s="13"/>
      <c r="W167" s="13"/>
      <c r="X167" s="13"/>
      <c r="Y167" s="10"/>
      <c r="Z167" s="13"/>
      <c r="AA167" s="13"/>
      <c r="AB167" s="13"/>
      <c r="AC167" s="13"/>
      <c r="AD167" s="13"/>
    </row>
    <row r="168" spans="1:30" ht="10.5" customHeight="1" x14ac:dyDescent="0.25">
      <c r="A168" s="9">
        <v>167</v>
      </c>
      <c r="B168" s="13"/>
      <c r="C168" s="13"/>
      <c r="D168" s="13"/>
      <c r="E168" s="13"/>
      <c r="F168" s="13"/>
      <c r="G168" s="13"/>
      <c r="H168" s="13"/>
      <c r="I168" s="13"/>
      <c r="J168" s="13"/>
      <c r="K168" s="13"/>
      <c r="L168" s="13"/>
      <c r="M168" s="13"/>
      <c r="N168" s="10"/>
      <c r="O168" s="10"/>
      <c r="P168" s="13"/>
      <c r="Q168" s="13"/>
      <c r="R168" s="13"/>
      <c r="S168" s="10" t="s">
        <v>665</v>
      </c>
      <c r="T168" s="18" t="s">
        <v>664</v>
      </c>
      <c r="U168" s="13"/>
      <c r="V168" s="13"/>
      <c r="W168" s="13"/>
      <c r="X168" s="13"/>
      <c r="Y168" s="10"/>
      <c r="Z168" s="13"/>
      <c r="AA168" s="13"/>
      <c r="AB168" s="13"/>
      <c r="AC168" s="13"/>
      <c r="AD168" s="13"/>
    </row>
    <row r="169" spans="1:30" ht="10.5" customHeight="1" x14ac:dyDescent="0.25">
      <c r="A169" s="9">
        <v>168</v>
      </c>
      <c r="B169" s="13"/>
      <c r="C169" s="13"/>
      <c r="D169" s="13"/>
      <c r="E169" s="13"/>
      <c r="F169" s="13"/>
      <c r="G169" s="13"/>
      <c r="H169" s="13"/>
      <c r="I169" s="13"/>
      <c r="J169" s="13"/>
      <c r="K169" s="13"/>
      <c r="L169" s="13"/>
      <c r="M169" s="13"/>
      <c r="N169" s="10"/>
      <c r="O169" s="10"/>
      <c r="P169" s="13"/>
      <c r="Q169" s="13"/>
      <c r="R169" s="13"/>
      <c r="S169" s="10" t="s">
        <v>667</v>
      </c>
      <c r="T169" s="18" t="s">
        <v>666</v>
      </c>
      <c r="U169" s="13"/>
      <c r="V169" s="13"/>
      <c r="W169" s="13"/>
      <c r="X169" s="13"/>
      <c r="Y169" s="10"/>
      <c r="Z169" s="13"/>
      <c r="AA169" s="13"/>
      <c r="AB169" s="13"/>
      <c r="AC169" s="13"/>
      <c r="AD169" s="13"/>
    </row>
    <row r="170" spans="1:30" ht="10.5" customHeight="1" x14ac:dyDescent="0.25">
      <c r="A170" s="9">
        <v>169</v>
      </c>
      <c r="B170" s="13"/>
      <c r="C170" s="13"/>
      <c r="D170" s="13"/>
      <c r="E170" s="13"/>
      <c r="F170" s="13"/>
      <c r="G170" s="13"/>
      <c r="H170" s="13"/>
      <c r="I170" s="13"/>
      <c r="J170" s="13"/>
      <c r="K170" s="13"/>
      <c r="L170" s="13"/>
      <c r="M170" s="13"/>
      <c r="N170" s="10"/>
      <c r="O170" s="10"/>
      <c r="P170" s="13"/>
      <c r="Q170" s="13"/>
      <c r="R170" s="13"/>
      <c r="S170" s="10" t="s">
        <v>669</v>
      </c>
      <c r="T170" s="18" t="s">
        <v>668</v>
      </c>
      <c r="U170" s="13"/>
      <c r="V170" s="13"/>
      <c r="W170" s="13"/>
      <c r="X170" s="13"/>
      <c r="Y170" s="10"/>
      <c r="Z170" s="13"/>
      <c r="AA170" s="13"/>
      <c r="AB170" s="13"/>
      <c r="AC170" s="13"/>
      <c r="AD170" s="13"/>
    </row>
    <row r="171" spans="1:30" ht="10.5" customHeight="1" x14ac:dyDescent="0.25">
      <c r="A171" s="9">
        <v>170</v>
      </c>
      <c r="B171" s="13"/>
      <c r="C171" s="13"/>
      <c r="D171" s="13"/>
      <c r="E171" s="13"/>
      <c r="F171" s="13"/>
      <c r="G171" s="13"/>
      <c r="H171" s="13"/>
      <c r="I171" s="13"/>
      <c r="J171" s="13"/>
      <c r="K171" s="13"/>
      <c r="L171" s="13"/>
      <c r="M171" s="13"/>
      <c r="N171" s="10"/>
      <c r="O171" s="10"/>
      <c r="P171" s="13"/>
      <c r="Q171" s="13"/>
      <c r="R171" s="13"/>
      <c r="S171" s="10" t="s">
        <v>671</v>
      </c>
      <c r="T171" s="18" t="s">
        <v>670</v>
      </c>
      <c r="U171" s="13"/>
      <c r="V171" s="13"/>
      <c r="W171" s="13"/>
      <c r="X171" s="13"/>
      <c r="Y171" s="10"/>
      <c r="Z171" s="13"/>
      <c r="AA171" s="13"/>
      <c r="AB171" s="13"/>
      <c r="AC171" s="13"/>
      <c r="AD171" s="13"/>
    </row>
    <row r="172" spans="1:30" ht="10.5" customHeight="1" x14ac:dyDescent="0.25">
      <c r="A172" s="9"/>
      <c r="B172" s="13"/>
      <c r="C172" s="13"/>
      <c r="D172" s="13"/>
      <c r="E172" s="13"/>
      <c r="F172" s="13"/>
      <c r="G172" s="13"/>
      <c r="H172" s="13"/>
      <c r="I172" s="13"/>
      <c r="J172" s="13"/>
      <c r="K172" s="13"/>
      <c r="L172" s="13"/>
      <c r="M172" s="13"/>
      <c r="N172" s="10"/>
      <c r="O172" s="10"/>
      <c r="P172" s="13"/>
      <c r="Q172" s="13"/>
      <c r="R172" s="13"/>
      <c r="S172" s="10" t="s">
        <v>1468</v>
      </c>
      <c r="T172" s="18" t="s">
        <v>672</v>
      </c>
      <c r="U172" s="13"/>
      <c r="V172" s="13"/>
      <c r="W172" s="13"/>
      <c r="X172" s="13"/>
      <c r="Y172" s="10"/>
      <c r="Z172" s="13"/>
      <c r="AA172" s="13"/>
      <c r="AB172" s="13"/>
      <c r="AC172" s="13"/>
      <c r="AD172" s="13"/>
    </row>
    <row r="173" spans="1:30" ht="10.5" customHeight="1" x14ac:dyDescent="0.25">
      <c r="A173" s="9"/>
      <c r="B173" s="13"/>
      <c r="C173" s="13"/>
      <c r="D173" s="13"/>
      <c r="E173" s="13"/>
      <c r="F173" s="13"/>
      <c r="G173" s="13"/>
      <c r="H173" s="13"/>
      <c r="I173" s="13"/>
      <c r="J173" s="13"/>
      <c r="K173" s="13"/>
      <c r="L173" s="13"/>
      <c r="M173" s="13"/>
      <c r="N173" s="10"/>
      <c r="O173" s="10"/>
      <c r="P173" s="13"/>
      <c r="Q173" s="13"/>
      <c r="R173" s="13"/>
      <c r="S173" s="10" t="s">
        <v>674</v>
      </c>
      <c r="T173" s="18" t="s">
        <v>673</v>
      </c>
      <c r="U173" s="13"/>
      <c r="V173" s="13"/>
      <c r="W173" s="13"/>
      <c r="X173" s="13"/>
      <c r="Y173" s="10"/>
      <c r="Z173" s="13"/>
      <c r="AA173" s="13"/>
      <c r="AB173" s="13"/>
      <c r="AC173" s="13"/>
      <c r="AD173" s="13"/>
    </row>
    <row r="174" spans="1:30" ht="10.5" customHeight="1" x14ac:dyDescent="0.25">
      <c r="A174" s="9"/>
      <c r="B174" s="13"/>
      <c r="C174" s="13"/>
      <c r="D174" s="13"/>
      <c r="E174" s="13"/>
      <c r="F174" s="13"/>
      <c r="G174" s="13"/>
      <c r="H174" s="13"/>
      <c r="I174" s="13"/>
      <c r="J174" s="13"/>
      <c r="K174" s="13"/>
      <c r="L174" s="13"/>
      <c r="M174" s="13"/>
      <c r="N174" s="10"/>
      <c r="O174" s="10"/>
      <c r="P174" s="13"/>
      <c r="Q174" s="13"/>
      <c r="R174" s="13"/>
      <c r="S174" s="10" t="s">
        <v>676</v>
      </c>
      <c r="T174" s="18" t="s">
        <v>675</v>
      </c>
      <c r="U174" s="13"/>
      <c r="V174" s="13"/>
      <c r="W174" s="13"/>
      <c r="X174" s="13"/>
      <c r="Y174" s="10"/>
      <c r="Z174" s="13"/>
      <c r="AA174" s="13"/>
      <c r="AB174" s="13"/>
      <c r="AC174" s="13"/>
      <c r="AD174" s="13"/>
    </row>
    <row r="175" spans="1:30" ht="10.5" customHeight="1" x14ac:dyDescent="0.25">
      <c r="A175" s="9"/>
      <c r="B175" s="13"/>
      <c r="C175" s="13"/>
      <c r="D175" s="13"/>
      <c r="E175" s="13"/>
      <c r="F175" s="13"/>
      <c r="G175" s="13"/>
      <c r="H175" s="13"/>
      <c r="I175" s="13"/>
      <c r="J175" s="13"/>
      <c r="K175" s="13"/>
      <c r="L175" s="13"/>
      <c r="M175" s="13"/>
      <c r="N175" s="10"/>
      <c r="O175" s="10"/>
      <c r="P175" s="13"/>
      <c r="Q175" s="13"/>
      <c r="R175" s="13"/>
      <c r="S175" s="10" t="s">
        <v>678</v>
      </c>
      <c r="T175" s="18" t="s">
        <v>677</v>
      </c>
      <c r="U175" s="13"/>
      <c r="V175" s="13"/>
      <c r="W175" s="13"/>
      <c r="X175" s="13"/>
      <c r="Y175" s="10"/>
      <c r="Z175" s="13"/>
      <c r="AA175" s="13"/>
      <c r="AB175" s="13"/>
      <c r="AC175" s="13"/>
      <c r="AD175" s="13"/>
    </row>
    <row r="176" spans="1:30" ht="10.5" customHeight="1" x14ac:dyDescent="0.25">
      <c r="A176" s="9"/>
      <c r="B176" s="13"/>
      <c r="C176" s="13"/>
      <c r="D176" s="13"/>
      <c r="E176" s="13"/>
      <c r="F176" s="13"/>
      <c r="G176" s="13"/>
      <c r="H176" s="13"/>
      <c r="I176" s="13"/>
      <c r="J176" s="13"/>
      <c r="K176" s="13"/>
      <c r="L176" s="13"/>
      <c r="M176" s="13"/>
      <c r="N176" s="10"/>
      <c r="O176" s="10"/>
      <c r="P176" s="13"/>
      <c r="Q176" s="13"/>
      <c r="R176" s="13"/>
      <c r="S176" s="10" t="s">
        <v>680</v>
      </c>
      <c r="T176" s="18" t="s">
        <v>679</v>
      </c>
      <c r="U176" s="13"/>
      <c r="V176" s="13"/>
      <c r="W176" s="13"/>
      <c r="X176" s="13"/>
      <c r="Y176" s="10"/>
      <c r="Z176" s="13"/>
      <c r="AA176" s="13"/>
      <c r="AB176" s="13"/>
      <c r="AC176" s="13"/>
      <c r="AD176" s="13"/>
    </row>
    <row r="177" spans="1:30" ht="10.5" customHeight="1" x14ac:dyDescent="0.25">
      <c r="A177" s="9"/>
      <c r="B177" s="13"/>
      <c r="C177" s="13"/>
      <c r="D177" s="13"/>
      <c r="E177" s="13"/>
      <c r="F177" s="13"/>
      <c r="G177" s="13"/>
      <c r="H177" s="13"/>
      <c r="I177" s="13"/>
      <c r="J177" s="13"/>
      <c r="K177" s="13"/>
      <c r="L177" s="13"/>
      <c r="M177" s="13"/>
      <c r="N177" s="10"/>
      <c r="O177" s="10"/>
      <c r="P177" s="13"/>
      <c r="Q177" s="13"/>
      <c r="R177" s="13"/>
      <c r="S177" s="10" t="s">
        <v>686</v>
      </c>
      <c r="T177" s="18" t="s">
        <v>685</v>
      </c>
      <c r="U177" s="13"/>
      <c r="V177" s="13"/>
      <c r="W177" s="13"/>
      <c r="X177" s="13"/>
      <c r="Y177" s="10"/>
      <c r="Z177" s="13"/>
      <c r="AA177" s="13"/>
      <c r="AB177" s="13"/>
      <c r="AC177" s="13"/>
      <c r="AD177" s="13"/>
    </row>
    <row r="178" spans="1:30" ht="10.5" customHeight="1" x14ac:dyDescent="0.25">
      <c r="A178" s="9"/>
      <c r="B178" s="13"/>
      <c r="C178" s="13"/>
      <c r="D178" s="13"/>
      <c r="E178" s="13"/>
      <c r="F178" s="13"/>
      <c r="G178" s="13"/>
      <c r="H178" s="13"/>
      <c r="I178" s="13"/>
      <c r="J178" s="13"/>
      <c r="K178" s="13"/>
      <c r="L178" s="13"/>
      <c r="M178" s="13"/>
      <c r="N178" s="10"/>
      <c r="O178" s="10"/>
      <c r="P178" s="13"/>
      <c r="Q178" s="13"/>
      <c r="R178" s="13"/>
      <c r="S178" s="10" t="s">
        <v>688</v>
      </c>
      <c r="T178" s="18" t="s">
        <v>687</v>
      </c>
      <c r="U178" s="13"/>
      <c r="V178" s="13"/>
      <c r="W178" s="13"/>
      <c r="X178" s="13"/>
      <c r="Y178" s="10"/>
      <c r="Z178" s="13"/>
      <c r="AA178" s="13"/>
      <c r="AB178" s="13"/>
      <c r="AC178" s="13"/>
      <c r="AD178" s="13"/>
    </row>
    <row r="179" spans="1:30" ht="10.5" customHeight="1" x14ac:dyDescent="0.25">
      <c r="A179" s="9"/>
      <c r="B179" s="13"/>
      <c r="C179" s="13"/>
      <c r="D179" s="13"/>
      <c r="E179" s="13"/>
      <c r="F179" s="13"/>
      <c r="G179" s="13"/>
      <c r="H179" s="13"/>
      <c r="I179" s="13"/>
      <c r="J179" s="13"/>
      <c r="K179" s="13"/>
      <c r="L179" s="13"/>
      <c r="M179" s="13"/>
      <c r="N179" s="10"/>
      <c r="O179" s="10"/>
      <c r="P179" s="13"/>
      <c r="Q179" s="13"/>
      <c r="R179" s="13"/>
      <c r="S179" s="10" t="s">
        <v>692</v>
      </c>
      <c r="T179" s="18" t="s">
        <v>691</v>
      </c>
      <c r="U179" s="13"/>
      <c r="V179" s="13"/>
      <c r="W179" s="13"/>
      <c r="X179" s="13"/>
      <c r="Y179" s="10"/>
      <c r="Z179" s="13"/>
      <c r="AA179" s="13"/>
      <c r="AB179" s="13"/>
      <c r="AC179" s="13"/>
      <c r="AD179" s="13"/>
    </row>
    <row r="180" spans="1:30" ht="10.5" customHeight="1" x14ac:dyDescent="0.25">
      <c r="A180" s="9"/>
      <c r="B180" s="13"/>
      <c r="C180" s="13"/>
      <c r="D180" s="13"/>
      <c r="E180" s="13"/>
      <c r="F180" s="13"/>
      <c r="G180" s="13"/>
      <c r="H180" s="13"/>
      <c r="I180" s="13"/>
      <c r="J180" s="13"/>
      <c r="K180" s="13"/>
      <c r="L180" s="13"/>
      <c r="M180" s="13"/>
      <c r="N180" s="10"/>
      <c r="O180" s="10"/>
      <c r="P180" s="13"/>
      <c r="Q180" s="13"/>
      <c r="R180" s="13"/>
      <c r="S180" s="10" t="s">
        <v>694</v>
      </c>
      <c r="T180" s="18" t="s">
        <v>693</v>
      </c>
      <c r="U180" s="13"/>
      <c r="V180" s="13"/>
      <c r="W180" s="13"/>
      <c r="X180" s="13"/>
      <c r="Y180" s="10"/>
      <c r="Z180" s="13"/>
      <c r="AA180" s="13"/>
      <c r="AB180" s="13"/>
      <c r="AC180" s="13"/>
      <c r="AD180" s="13"/>
    </row>
    <row r="181" spans="1:30" ht="10.5" customHeight="1" x14ac:dyDescent="0.25">
      <c r="A181" s="9"/>
      <c r="B181" s="13"/>
      <c r="C181" s="13"/>
      <c r="D181" s="13"/>
      <c r="E181" s="13"/>
      <c r="F181" s="13"/>
      <c r="G181" s="13"/>
      <c r="H181" s="13"/>
      <c r="I181" s="13"/>
      <c r="J181" s="13"/>
      <c r="K181" s="13"/>
      <c r="L181" s="13"/>
      <c r="M181" s="13"/>
      <c r="N181" s="10"/>
      <c r="O181" s="10"/>
      <c r="P181" s="13"/>
      <c r="Q181" s="13"/>
      <c r="R181" s="13"/>
      <c r="S181" s="10" t="s">
        <v>696</v>
      </c>
      <c r="T181" s="18" t="s">
        <v>695</v>
      </c>
      <c r="U181" s="13"/>
      <c r="V181" s="13"/>
      <c r="W181" s="13"/>
      <c r="X181" s="13"/>
      <c r="Y181" s="10"/>
      <c r="Z181" s="13"/>
      <c r="AA181" s="13"/>
      <c r="AB181" s="13"/>
      <c r="AC181" s="13"/>
      <c r="AD181" s="13"/>
    </row>
    <row r="182" spans="1:30" ht="10.5" customHeight="1" x14ac:dyDescent="0.25">
      <c r="A182" s="9"/>
      <c r="B182" s="13"/>
      <c r="C182" s="13"/>
      <c r="D182" s="13"/>
      <c r="E182" s="13"/>
      <c r="F182" s="13"/>
      <c r="G182" s="13"/>
      <c r="H182" s="13"/>
      <c r="I182" s="13"/>
      <c r="J182" s="13"/>
      <c r="K182" s="13"/>
      <c r="L182" s="13"/>
      <c r="M182" s="13"/>
      <c r="N182" s="10"/>
      <c r="O182" s="10"/>
      <c r="P182" s="13"/>
      <c r="Q182" s="13"/>
      <c r="R182" s="13"/>
      <c r="S182" s="10" t="s">
        <v>698</v>
      </c>
      <c r="T182" s="18" t="s">
        <v>697</v>
      </c>
      <c r="U182" s="13"/>
      <c r="V182" s="13"/>
      <c r="W182" s="13"/>
      <c r="X182" s="13"/>
      <c r="Y182" s="10"/>
      <c r="Z182" s="13"/>
      <c r="AA182" s="13"/>
      <c r="AB182" s="13"/>
      <c r="AC182" s="13"/>
      <c r="AD182" s="13"/>
    </row>
    <row r="183" spans="1:30" ht="10.5" customHeight="1" x14ac:dyDescent="0.25">
      <c r="A183" s="9"/>
      <c r="B183" s="13"/>
      <c r="C183" s="13"/>
      <c r="D183" s="13"/>
      <c r="E183" s="13"/>
      <c r="F183" s="13"/>
      <c r="G183" s="13"/>
      <c r="H183" s="13"/>
      <c r="I183" s="13"/>
      <c r="J183" s="13"/>
      <c r="K183" s="13"/>
      <c r="L183" s="13"/>
      <c r="M183" s="13"/>
      <c r="N183" s="10"/>
      <c r="O183" s="10"/>
      <c r="P183" s="13"/>
      <c r="Q183" s="13"/>
      <c r="R183" s="13"/>
      <c r="S183" s="10" t="s">
        <v>700</v>
      </c>
      <c r="T183" s="18" t="s">
        <v>699</v>
      </c>
      <c r="U183" s="13"/>
      <c r="V183" s="13"/>
      <c r="W183" s="13"/>
      <c r="X183" s="13"/>
      <c r="Y183" s="10"/>
      <c r="Z183" s="13"/>
      <c r="AA183" s="13"/>
      <c r="AB183" s="13"/>
      <c r="AC183" s="13"/>
      <c r="AD183" s="13"/>
    </row>
    <row r="184" spans="1:30" ht="10.5" customHeight="1" x14ac:dyDescent="0.25">
      <c r="A184" s="9"/>
      <c r="B184" s="13"/>
      <c r="C184" s="13"/>
      <c r="D184" s="13"/>
      <c r="E184" s="13"/>
      <c r="F184" s="13"/>
      <c r="G184" s="13"/>
      <c r="H184" s="13"/>
      <c r="I184" s="13"/>
      <c r="J184" s="13"/>
      <c r="K184" s="13"/>
      <c r="L184" s="13"/>
      <c r="M184" s="13"/>
      <c r="N184" s="10"/>
      <c r="O184" s="10"/>
      <c r="P184" s="13"/>
      <c r="Q184" s="13"/>
      <c r="R184" s="13"/>
      <c r="S184" s="10" t="s">
        <v>702</v>
      </c>
      <c r="T184" s="18" t="s">
        <v>701</v>
      </c>
      <c r="U184" s="13"/>
      <c r="V184" s="13"/>
      <c r="W184" s="13"/>
      <c r="X184" s="13"/>
      <c r="Y184" s="10"/>
      <c r="Z184" s="13"/>
      <c r="AA184" s="13"/>
      <c r="AB184" s="13"/>
      <c r="AC184" s="13"/>
      <c r="AD184" s="13"/>
    </row>
    <row r="185" spans="1:30" ht="10.5" customHeight="1" x14ac:dyDescent="0.25">
      <c r="A185" s="9"/>
      <c r="B185" s="13"/>
      <c r="C185" s="13"/>
      <c r="D185" s="13"/>
      <c r="E185" s="13"/>
      <c r="F185" s="13"/>
      <c r="G185" s="13"/>
      <c r="H185" s="13"/>
      <c r="I185" s="13"/>
      <c r="J185" s="13"/>
      <c r="K185" s="13"/>
      <c r="L185" s="13"/>
      <c r="M185" s="13"/>
      <c r="N185" s="10"/>
      <c r="O185" s="10"/>
      <c r="P185" s="13"/>
      <c r="Q185" s="13"/>
      <c r="R185" s="13"/>
      <c r="S185" s="10" t="s">
        <v>704</v>
      </c>
      <c r="T185" s="18" t="s">
        <v>703</v>
      </c>
      <c r="U185" s="13"/>
      <c r="V185" s="13"/>
      <c r="W185" s="13"/>
      <c r="X185" s="13"/>
      <c r="Y185" s="10"/>
      <c r="Z185" s="13"/>
      <c r="AA185" s="13"/>
      <c r="AB185" s="13"/>
      <c r="AC185" s="13"/>
      <c r="AD185" s="13"/>
    </row>
    <row r="186" spans="1:30" ht="10.5" customHeight="1" x14ac:dyDescent="0.25">
      <c r="A186" s="9"/>
      <c r="B186" s="13"/>
      <c r="C186" s="13"/>
      <c r="D186" s="13"/>
      <c r="E186" s="13"/>
      <c r="F186" s="13"/>
      <c r="G186" s="13"/>
      <c r="H186" s="13"/>
      <c r="I186" s="13"/>
      <c r="J186" s="13"/>
      <c r="K186" s="13"/>
      <c r="L186" s="13"/>
      <c r="M186" s="13"/>
      <c r="N186" s="10"/>
      <c r="O186" s="10"/>
      <c r="P186" s="13"/>
      <c r="Q186" s="13"/>
      <c r="R186" s="13"/>
      <c r="S186" s="10" t="s">
        <v>706</v>
      </c>
      <c r="T186" s="18" t="s">
        <v>705</v>
      </c>
      <c r="U186" s="13"/>
      <c r="V186" s="13"/>
      <c r="W186" s="13"/>
      <c r="X186" s="13"/>
      <c r="Y186" s="10"/>
      <c r="Z186" s="13"/>
      <c r="AA186" s="13"/>
      <c r="AB186" s="13"/>
      <c r="AC186" s="13"/>
      <c r="AD186" s="13"/>
    </row>
    <row r="187" spans="1:30" ht="10.5" customHeight="1" x14ac:dyDescent="0.25">
      <c r="A187" s="9"/>
      <c r="B187" s="13"/>
      <c r="C187" s="13"/>
      <c r="D187" s="13"/>
      <c r="E187" s="13"/>
      <c r="F187" s="13"/>
      <c r="G187" s="13"/>
      <c r="H187" s="13"/>
      <c r="I187" s="13"/>
      <c r="J187" s="13"/>
      <c r="K187" s="13"/>
      <c r="L187" s="13"/>
      <c r="M187" s="13"/>
      <c r="N187" s="10"/>
      <c r="O187" s="10"/>
      <c r="P187" s="13"/>
      <c r="Q187" s="13"/>
      <c r="R187" s="13"/>
      <c r="S187" s="10" t="s">
        <v>712</v>
      </c>
      <c r="T187" s="18" t="s">
        <v>711</v>
      </c>
      <c r="U187" s="13"/>
      <c r="V187" s="13"/>
      <c r="W187" s="13"/>
      <c r="X187" s="13"/>
      <c r="Y187" s="10"/>
      <c r="Z187" s="13"/>
      <c r="AA187" s="13"/>
      <c r="AB187" s="13"/>
      <c r="AC187" s="13"/>
      <c r="AD187" s="13"/>
    </row>
    <row r="188" spans="1:30" ht="10.5" customHeight="1" x14ac:dyDescent="0.25">
      <c r="A188" s="9"/>
      <c r="B188" s="13"/>
      <c r="C188" s="13"/>
      <c r="D188" s="13"/>
      <c r="E188" s="13"/>
      <c r="F188" s="13"/>
      <c r="G188" s="13"/>
      <c r="H188" s="13"/>
      <c r="I188" s="13"/>
      <c r="J188" s="13"/>
      <c r="K188" s="13"/>
      <c r="L188" s="13"/>
      <c r="M188" s="13"/>
      <c r="N188" s="10"/>
      <c r="O188" s="10"/>
      <c r="P188" s="13"/>
      <c r="Q188" s="13"/>
      <c r="R188" s="13"/>
      <c r="S188" s="10" t="s">
        <v>714</v>
      </c>
      <c r="T188" s="18" t="s">
        <v>713</v>
      </c>
      <c r="U188" s="13"/>
      <c r="V188" s="13"/>
      <c r="W188" s="13"/>
      <c r="X188" s="13"/>
      <c r="Y188" s="10"/>
      <c r="Z188" s="13"/>
      <c r="AA188" s="13"/>
      <c r="AB188" s="13"/>
      <c r="AC188" s="13"/>
      <c r="AD188" s="13"/>
    </row>
    <row r="189" spans="1:30" ht="10.5" customHeight="1" x14ac:dyDescent="0.25">
      <c r="A189" s="9"/>
      <c r="B189" s="13"/>
      <c r="C189" s="13"/>
      <c r="D189" s="13"/>
      <c r="E189" s="13"/>
      <c r="F189" s="13"/>
      <c r="G189" s="13"/>
      <c r="H189" s="13"/>
      <c r="I189" s="13"/>
      <c r="J189" s="13"/>
      <c r="K189" s="13"/>
      <c r="L189" s="13"/>
      <c r="M189" s="13"/>
      <c r="N189" s="10"/>
      <c r="O189" s="10"/>
      <c r="P189" s="13"/>
      <c r="Q189" s="13"/>
      <c r="R189" s="13"/>
      <c r="S189" s="10" t="s">
        <v>716</v>
      </c>
      <c r="T189" s="18" t="s">
        <v>715</v>
      </c>
      <c r="U189" s="13"/>
      <c r="V189" s="13"/>
      <c r="W189" s="13"/>
      <c r="X189" s="13"/>
      <c r="Y189" s="10"/>
      <c r="Z189" s="13"/>
      <c r="AA189" s="13"/>
      <c r="AB189" s="13"/>
      <c r="AC189" s="13"/>
      <c r="AD189" s="13"/>
    </row>
    <row r="190" spans="1:30" ht="10.5" customHeight="1" x14ac:dyDescent="0.25">
      <c r="A190" s="9"/>
      <c r="B190" s="13"/>
      <c r="C190" s="13"/>
      <c r="D190" s="13"/>
      <c r="E190" s="13"/>
      <c r="F190" s="13"/>
      <c r="G190" s="13"/>
      <c r="H190" s="13"/>
      <c r="I190" s="13"/>
      <c r="J190" s="13"/>
      <c r="K190" s="13"/>
      <c r="L190" s="13"/>
      <c r="M190" s="13"/>
      <c r="N190" s="10"/>
      <c r="O190" s="10"/>
      <c r="P190" s="13"/>
      <c r="Q190" s="13"/>
      <c r="R190" s="13"/>
      <c r="S190" s="10" t="s">
        <v>720</v>
      </c>
      <c r="T190" s="18" t="s">
        <v>719</v>
      </c>
      <c r="U190" s="13"/>
      <c r="V190" s="13"/>
      <c r="W190" s="13"/>
      <c r="X190" s="13"/>
      <c r="Y190" s="10"/>
      <c r="Z190" s="13"/>
      <c r="AA190" s="13"/>
      <c r="AB190" s="13"/>
      <c r="AC190" s="13"/>
      <c r="AD190" s="13"/>
    </row>
    <row r="191" spans="1:30" ht="10.5" customHeight="1" x14ac:dyDescent="0.25">
      <c r="A191" s="9"/>
      <c r="B191" s="13"/>
      <c r="C191" s="13"/>
      <c r="D191" s="13"/>
      <c r="E191" s="13"/>
      <c r="F191" s="13"/>
      <c r="G191" s="13"/>
      <c r="H191" s="13"/>
      <c r="I191" s="13"/>
      <c r="J191" s="13"/>
      <c r="K191" s="13"/>
      <c r="L191" s="13"/>
      <c r="M191" s="13"/>
      <c r="N191" s="10"/>
      <c r="O191" s="10"/>
      <c r="P191" s="13"/>
      <c r="Q191" s="13"/>
      <c r="R191" s="13"/>
      <c r="S191" s="10" t="s">
        <v>722</v>
      </c>
      <c r="T191" s="18" t="s">
        <v>721</v>
      </c>
      <c r="U191" s="13"/>
      <c r="V191" s="13"/>
      <c r="W191" s="13"/>
      <c r="X191" s="13"/>
      <c r="Y191" s="10"/>
      <c r="Z191" s="13"/>
      <c r="AA191" s="13"/>
      <c r="AB191" s="13"/>
      <c r="AC191" s="13"/>
      <c r="AD191" s="13"/>
    </row>
    <row r="192" spans="1:30" ht="10.5" customHeight="1" x14ac:dyDescent="0.25">
      <c r="A192" s="9"/>
      <c r="B192" s="13"/>
      <c r="C192" s="13"/>
      <c r="D192" s="13"/>
      <c r="E192" s="13"/>
      <c r="F192" s="13"/>
      <c r="G192" s="13"/>
      <c r="H192" s="13"/>
      <c r="I192" s="13"/>
      <c r="J192" s="13"/>
      <c r="K192" s="13"/>
      <c r="L192" s="13"/>
      <c r="M192" s="13"/>
      <c r="N192" s="10"/>
      <c r="O192" s="10"/>
      <c r="P192" s="13"/>
      <c r="Q192" s="13"/>
      <c r="R192" s="13"/>
      <c r="S192" s="10" t="s">
        <v>724</v>
      </c>
      <c r="T192" s="18" t="s">
        <v>723</v>
      </c>
      <c r="U192" s="13"/>
      <c r="V192" s="13"/>
      <c r="W192" s="13"/>
      <c r="X192" s="13"/>
      <c r="Y192" s="10"/>
      <c r="Z192" s="13"/>
      <c r="AA192" s="13"/>
      <c r="AB192" s="13"/>
      <c r="AC192" s="13"/>
      <c r="AD192" s="13"/>
    </row>
    <row r="193" spans="1:30" ht="10.5" customHeight="1" x14ac:dyDescent="0.25">
      <c r="A193" s="9"/>
      <c r="B193" s="13"/>
      <c r="C193" s="13"/>
      <c r="D193" s="13"/>
      <c r="E193" s="13"/>
      <c r="F193" s="13"/>
      <c r="G193" s="13"/>
      <c r="H193" s="13"/>
      <c r="I193" s="13"/>
      <c r="J193" s="13"/>
      <c r="K193" s="13"/>
      <c r="L193" s="13"/>
      <c r="M193" s="13"/>
      <c r="N193" s="10"/>
      <c r="O193" s="10"/>
      <c r="P193" s="13"/>
      <c r="Q193" s="13"/>
      <c r="R193" s="13"/>
      <c r="S193" s="10" t="s">
        <v>726</v>
      </c>
      <c r="T193" s="18" t="s">
        <v>725</v>
      </c>
      <c r="U193" s="13"/>
      <c r="V193" s="13"/>
      <c r="W193" s="13"/>
      <c r="X193" s="13"/>
      <c r="Y193" s="10"/>
      <c r="Z193" s="13"/>
      <c r="AA193" s="13"/>
      <c r="AB193" s="13"/>
      <c r="AC193" s="13"/>
      <c r="AD193" s="13"/>
    </row>
    <row r="194" spans="1:30" ht="10.5" customHeight="1" x14ac:dyDescent="0.25">
      <c r="A194" s="9"/>
      <c r="B194" s="13"/>
      <c r="C194" s="13"/>
      <c r="D194" s="13"/>
      <c r="E194" s="13"/>
      <c r="F194" s="13"/>
      <c r="G194" s="13"/>
      <c r="H194" s="13"/>
      <c r="I194" s="13"/>
      <c r="J194" s="13"/>
      <c r="K194" s="13"/>
      <c r="L194" s="13"/>
      <c r="M194" s="13"/>
      <c r="N194" s="10"/>
      <c r="O194" s="10"/>
      <c r="P194" s="13"/>
      <c r="Q194" s="13"/>
      <c r="R194" s="13"/>
      <c r="S194" s="10" t="s">
        <v>728</v>
      </c>
      <c r="T194" s="18" t="s">
        <v>727</v>
      </c>
      <c r="U194" s="13"/>
      <c r="V194" s="13"/>
      <c r="W194" s="13"/>
      <c r="X194" s="13"/>
      <c r="Y194" s="10"/>
      <c r="Z194" s="13"/>
      <c r="AA194" s="13"/>
      <c r="AB194" s="13"/>
      <c r="AC194" s="13"/>
      <c r="AD194" s="13"/>
    </row>
    <row r="195" spans="1:30" ht="10.5" customHeight="1" x14ac:dyDescent="0.25">
      <c r="A195" s="9"/>
      <c r="B195" s="13"/>
      <c r="C195" s="13"/>
      <c r="D195" s="13"/>
      <c r="E195" s="13"/>
      <c r="F195" s="13"/>
      <c r="G195" s="13"/>
      <c r="H195" s="13"/>
      <c r="I195" s="13"/>
      <c r="J195" s="13"/>
      <c r="K195" s="13"/>
      <c r="L195" s="13"/>
      <c r="M195" s="13"/>
      <c r="N195" s="10"/>
      <c r="O195" s="10"/>
      <c r="P195" s="13"/>
      <c r="Q195" s="13"/>
      <c r="R195" s="13"/>
      <c r="S195" s="10" t="s">
        <v>730</v>
      </c>
      <c r="T195" s="18" t="s">
        <v>729</v>
      </c>
      <c r="U195" s="13"/>
      <c r="V195" s="13"/>
      <c r="W195" s="13"/>
      <c r="X195" s="13"/>
      <c r="Y195" s="10"/>
      <c r="Z195" s="13"/>
      <c r="AA195" s="13"/>
      <c r="AB195" s="13"/>
      <c r="AC195" s="13"/>
      <c r="AD195" s="13"/>
    </row>
    <row r="196" spans="1:30" ht="10.5" customHeight="1" x14ac:dyDescent="0.25">
      <c r="A196" s="9"/>
      <c r="B196" s="13"/>
      <c r="C196" s="13"/>
      <c r="D196" s="13"/>
      <c r="E196" s="13"/>
      <c r="F196" s="13"/>
      <c r="G196" s="13"/>
      <c r="H196" s="13"/>
      <c r="I196" s="13"/>
      <c r="J196" s="13"/>
      <c r="K196" s="13"/>
      <c r="L196" s="13"/>
      <c r="M196" s="13"/>
      <c r="N196" s="10"/>
      <c r="O196" s="10"/>
      <c r="P196" s="13"/>
      <c r="Q196" s="13"/>
      <c r="R196" s="13"/>
      <c r="S196" s="10" t="s">
        <v>732</v>
      </c>
      <c r="T196" s="18" t="s">
        <v>731</v>
      </c>
      <c r="U196" s="13"/>
      <c r="V196" s="13"/>
      <c r="W196" s="13"/>
      <c r="X196" s="13"/>
      <c r="Y196" s="10"/>
      <c r="Z196" s="13"/>
      <c r="AA196" s="13"/>
      <c r="AB196" s="13"/>
      <c r="AC196" s="13"/>
      <c r="AD196" s="13"/>
    </row>
    <row r="197" spans="1:30" ht="10.5" customHeight="1" x14ac:dyDescent="0.25">
      <c r="A197" s="9"/>
      <c r="B197" s="13"/>
      <c r="C197" s="13"/>
      <c r="D197" s="13"/>
      <c r="E197" s="13"/>
      <c r="F197" s="13"/>
      <c r="G197" s="13"/>
      <c r="H197" s="13"/>
      <c r="I197" s="13"/>
      <c r="J197" s="13"/>
      <c r="K197" s="13"/>
      <c r="L197" s="13"/>
      <c r="M197" s="13"/>
      <c r="N197" s="10"/>
      <c r="O197" s="10"/>
      <c r="P197" s="13"/>
      <c r="Q197" s="13"/>
      <c r="R197" s="13"/>
      <c r="S197" s="10" t="s">
        <v>736</v>
      </c>
      <c r="T197" s="18" t="s">
        <v>735</v>
      </c>
      <c r="U197" s="13"/>
      <c r="V197" s="13"/>
      <c r="W197" s="13"/>
      <c r="X197" s="13"/>
      <c r="Y197" s="10"/>
      <c r="Z197" s="13"/>
      <c r="AA197" s="13"/>
      <c r="AB197" s="13"/>
      <c r="AC197" s="13"/>
      <c r="AD197" s="13"/>
    </row>
    <row r="198" spans="1:30" ht="10.5" customHeight="1" x14ac:dyDescent="0.25">
      <c r="A198" s="9"/>
      <c r="B198" s="13"/>
      <c r="C198" s="13"/>
      <c r="D198" s="13"/>
      <c r="E198" s="13"/>
      <c r="F198" s="13"/>
      <c r="G198" s="13"/>
      <c r="H198" s="13"/>
      <c r="I198" s="13"/>
      <c r="J198" s="13"/>
      <c r="K198" s="13"/>
      <c r="L198" s="13"/>
      <c r="M198" s="13"/>
      <c r="N198" s="10"/>
      <c r="O198" s="10"/>
      <c r="P198" s="13"/>
      <c r="Q198" s="13"/>
      <c r="R198" s="13"/>
      <c r="S198" s="10" t="s">
        <v>738</v>
      </c>
      <c r="T198" s="18" t="s">
        <v>737</v>
      </c>
      <c r="U198" s="13"/>
      <c r="V198" s="13"/>
      <c r="W198" s="13"/>
      <c r="X198" s="13"/>
      <c r="Y198" s="10"/>
      <c r="Z198" s="13"/>
      <c r="AA198" s="13"/>
      <c r="AB198" s="13"/>
      <c r="AC198" s="13"/>
      <c r="AD198" s="13"/>
    </row>
    <row r="199" spans="1:30" ht="10.5" customHeight="1" x14ac:dyDescent="0.25">
      <c r="A199" s="9"/>
      <c r="B199" s="13"/>
      <c r="C199" s="13"/>
      <c r="D199" s="13"/>
      <c r="E199" s="13"/>
      <c r="F199" s="13"/>
      <c r="G199" s="13"/>
      <c r="H199" s="13"/>
      <c r="I199" s="13"/>
      <c r="J199" s="13"/>
      <c r="K199" s="13"/>
      <c r="L199" s="13"/>
      <c r="M199" s="13"/>
      <c r="N199" s="10"/>
      <c r="O199" s="10"/>
      <c r="P199" s="13"/>
      <c r="Q199" s="13"/>
      <c r="R199" s="13"/>
      <c r="S199" s="10" t="s">
        <v>740</v>
      </c>
      <c r="T199" s="18" t="s">
        <v>739</v>
      </c>
      <c r="U199" s="13"/>
      <c r="V199" s="13"/>
      <c r="W199" s="13"/>
      <c r="X199" s="13"/>
      <c r="Y199" s="10"/>
      <c r="Z199" s="13"/>
      <c r="AA199" s="13"/>
      <c r="AB199" s="13"/>
      <c r="AC199" s="13"/>
      <c r="AD199" s="13"/>
    </row>
    <row r="200" spans="1:30" ht="10.5" customHeight="1" x14ac:dyDescent="0.25">
      <c r="A200" s="9"/>
      <c r="B200" s="13"/>
      <c r="C200" s="13"/>
      <c r="D200" s="13"/>
      <c r="E200" s="13"/>
      <c r="F200" s="13"/>
      <c r="G200" s="13"/>
      <c r="H200" s="13"/>
      <c r="I200" s="13"/>
      <c r="J200" s="13"/>
      <c r="K200" s="13"/>
      <c r="L200" s="13"/>
      <c r="M200" s="13"/>
      <c r="N200" s="10"/>
      <c r="O200" s="10"/>
      <c r="P200" s="13"/>
      <c r="Q200" s="13"/>
      <c r="R200" s="13"/>
      <c r="S200" s="10" t="s">
        <v>742</v>
      </c>
      <c r="T200" s="18" t="s">
        <v>741</v>
      </c>
      <c r="U200" s="13"/>
      <c r="V200" s="13"/>
      <c r="W200" s="13"/>
      <c r="X200" s="13"/>
      <c r="Y200" s="10"/>
      <c r="Z200" s="13"/>
      <c r="AA200" s="13"/>
      <c r="AB200" s="13"/>
      <c r="AC200" s="13"/>
      <c r="AD200" s="13"/>
    </row>
    <row r="201" spans="1:30" ht="10.5" customHeight="1" x14ac:dyDescent="0.25">
      <c r="A201" s="9"/>
      <c r="B201" s="13"/>
      <c r="C201" s="13"/>
      <c r="D201" s="13"/>
      <c r="E201" s="13"/>
      <c r="F201" s="13"/>
      <c r="G201" s="13"/>
      <c r="H201" s="13"/>
      <c r="I201" s="13"/>
      <c r="J201" s="13"/>
      <c r="K201" s="13"/>
      <c r="L201" s="13"/>
      <c r="M201" s="13"/>
      <c r="N201" s="10"/>
      <c r="O201" s="10"/>
      <c r="P201" s="13"/>
      <c r="Q201" s="13"/>
      <c r="R201" s="13"/>
      <c r="S201" s="10" t="s">
        <v>746</v>
      </c>
      <c r="T201" s="18" t="s">
        <v>745</v>
      </c>
      <c r="U201" s="13"/>
      <c r="V201" s="13"/>
      <c r="W201" s="13"/>
      <c r="X201" s="13"/>
      <c r="Y201" s="10"/>
      <c r="Z201" s="13"/>
      <c r="AA201" s="13"/>
      <c r="AB201" s="13"/>
      <c r="AC201" s="13"/>
      <c r="AD201" s="13"/>
    </row>
    <row r="202" spans="1:30" ht="10.5" customHeight="1" x14ac:dyDescent="0.25">
      <c r="A202" s="9"/>
      <c r="B202" s="13"/>
      <c r="C202" s="13"/>
      <c r="D202" s="13"/>
      <c r="E202" s="13"/>
      <c r="F202" s="13"/>
      <c r="G202" s="13"/>
      <c r="H202" s="13"/>
      <c r="I202" s="13"/>
      <c r="J202" s="13"/>
      <c r="K202" s="13"/>
      <c r="L202" s="13"/>
      <c r="M202" s="13"/>
      <c r="N202" s="10"/>
      <c r="O202" s="10"/>
      <c r="P202" s="13"/>
      <c r="Q202" s="13"/>
      <c r="R202" s="13"/>
      <c r="S202" s="10" t="s">
        <v>748</v>
      </c>
      <c r="T202" s="18" t="s">
        <v>747</v>
      </c>
      <c r="U202" s="13"/>
      <c r="V202" s="13"/>
      <c r="W202" s="13"/>
      <c r="X202" s="13"/>
      <c r="Y202" s="10"/>
      <c r="Z202" s="13"/>
      <c r="AA202" s="13"/>
      <c r="AB202" s="13"/>
      <c r="AC202" s="13"/>
      <c r="AD202" s="13"/>
    </row>
    <row r="203" spans="1:30" ht="10.5" customHeight="1" x14ac:dyDescent="0.25">
      <c r="A203" s="9"/>
      <c r="B203" s="13"/>
      <c r="C203" s="13"/>
      <c r="D203" s="13"/>
      <c r="E203" s="13"/>
      <c r="F203" s="13"/>
      <c r="G203" s="13"/>
      <c r="H203" s="13"/>
      <c r="I203" s="13"/>
      <c r="J203" s="13"/>
      <c r="K203" s="13"/>
      <c r="L203" s="13"/>
      <c r="M203" s="13"/>
      <c r="N203" s="10"/>
      <c r="O203" s="10"/>
      <c r="P203" s="13"/>
      <c r="Q203" s="13"/>
      <c r="R203" s="13"/>
      <c r="S203" s="10" t="s">
        <v>750</v>
      </c>
      <c r="T203" s="18" t="s">
        <v>749</v>
      </c>
      <c r="U203" s="13"/>
      <c r="V203" s="13"/>
      <c r="W203" s="13"/>
      <c r="X203" s="13"/>
      <c r="Y203" s="10"/>
      <c r="Z203" s="13"/>
      <c r="AA203" s="13"/>
      <c r="AB203" s="13"/>
      <c r="AC203" s="13"/>
      <c r="AD203" s="13"/>
    </row>
    <row r="204" spans="1:30" ht="10.5" customHeight="1" x14ac:dyDescent="0.25">
      <c r="A204" s="9"/>
      <c r="B204" s="13"/>
      <c r="C204" s="13"/>
      <c r="D204" s="13"/>
      <c r="E204" s="13"/>
      <c r="F204" s="13"/>
      <c r="G204" s="13"/>
      <c r="H204" s="13"/>
      <c r="I204" s="13"/>
      <c r="J204" s="13"/>
      <c r="K204" s="13"/>
      <c r="L204" s="13"/>
      <c r="M204" s="13"/>
      <c r="N204" s="10"/>
      <c r="O204" s="10"/>
      <c r="P204" s="13"/>
      <c r="Q204" s="13"/>
      <c r="R204" s="13"/>
      <c r="S204" s="10" t="s">
        <v>752</v>
      </c>
      <c r="T204" s="18" t="s">
        <v>751</v>
      </c>
      <c r="U204" s="13"/>
      <c r="V204" s="13"/>
      <c r="W204" s="13"/>
      <c r="X204" s="13"/>
      <c r="Y204" s="10"/>
      <c r="Z204" s="13"/>
      <c r="AA204" s="13"/>
      <c r="AB204" s="13"/>
      <c r="AC204" s="13"/>
      <c r="AD204" s="13"/>
    </row>
    <row r="205" spans="1:30" ht="10.5" customHeight="1" x14ac:dyDescent="0.25">
      <c r="A205" s="9"/>
      <c r="B205" s="13"/>
      <c r="C205" s="13"/>
      <c r="D205" s="13"/>
      <c r="E205" s="13"/>
      <c r="F205" s="13"/>
      <c r="G205" s="13"/>
      <c r="H205" s="13"/>
      <c r="I205" s="13"/>
      <c r="J205" s="13"/>
      <c r="K205" s="13"/>
      <c r="L205" s="13"/>
      <c r="M205" s="13"/>
      <c r="N205" s="10"/>
      <c r="O205" s="10"/>
      <c r="P205" s="13"/>
      <c r="Q205" s="13"/>
      <c r="R205" s="13"/>
      <c r="S205" s="10" t="s">
        <v>760</v>
      </c>
      <c r="T205" s="18" t="s">
        <v>759</v>
      </c>
      <c r="U205" s="13"/>
      <c r="V205" s="13"/>
      <c r="W205" s="13"/>
      <c r="X205" s="13"/>
      <c r="Y205" s="10"/>
      <c r="Z205" s="13"/>
      <c r="AA205" s="13"/>
      <c r="AB205" s="13"/>
      <c r="AC205" s="13"/>
      <c r="AD205" s="13"/>
    </row>
    <row r="206" spans="1:30" ht="10.5" customHeight="1" x14ac:dyDescent="0.25">
      <c r="A206" s="9"/>
      <c r="B206" s="13"/>
      <c r="C206" s="13"/>
      <c r="D206" s="13"/>
      <c r="E206" s="13"/>
      <c r="F206" s="13"/>
      <c r="G206" s="13"/>
      <c r="H206" s="13"/>
      <c r="I206" s="13"/>
      <c r="J206" s="13"/>
      <c r="K206" s="13"/>
      <c r="L206" s="13"/>
      <c r="M206" s="13"/>
      <c r="N206" s="10"/>
      <c r="O206" s="10"/>
      <c r="P206" s="13"/>
      <c r="Q206" s="13"/>
      <c r="R206" s="13"/>
      <c r="S206" s="10" t="s">
        <v>764</v>
      </c>
      <c r="T206" s="18" t="s">
        <v>763</v>
      </c>
      <c r="U206" s="13"/>
      <c r="V206" s="13"/>
      <c r="W206" s="13"/>
      <c r="X206" s="13"/>
      <c r="Y206" s="10"/>
      <c r="Z206" s="13"/>
      <c r="AA206" s="13"/>
      <c r="AB206" s="13"/>
      <c r="AC206" s="13"/>
      <c r="AD206" s="13"/>
    </row>
    <row r="207" spans="1:30" ht="10.5" customHeight="1" x14ac:dyDescent="0.25">
      <c r="A207" s="9"/>
      <c r="B207" s="13"/>
      <c r="C207" s="13"/>
      <c r="D207" s="13"/>
      <c r="E207" s="13"/>
      <c r="F207" s="13"/>
      <c r="G207" s="13"/>
      <c r="H207" s="13"/>
      <c r="I207" s="13"/>
      <c r="J207" s="13"/>
      <c r="K207" s="13"/>
      <c r="L207" s="13"/>
      <c r="M207" s="13"/>
      <c r="N207" s="10"/>
      <c r="O207" s="10"/>
      <c r="P207" s="13"/>
      <c r="Q207" s="13"/>
      <c r="R207" s="13"/>
      <c r="S207" s="10" t="s">
        <v>766</v>
      </c>
      <c r="T207" s="18" t="s">
        <v>765</v>
      </c>
      <c r="U207" s="13"/>
      <c r="V207" s="13"/>
      <c r="W207" s="13"/>
      <c r="X207" s="13"/>
      <c r="Y207" s="10"/>
      <c r="Z207" s="13"/>
      <c r="AA207" s="13"/>
      <c r="AB207" s="13"/>
      <c r="AC207" s="13"/>
      <c r="AD207" s="13"/>
    </row>
    <row r="208" spans="1:30" ht="10.5" customHeight="1" x14ac:dyDescent="0.25">
      <c r="A208" s="9"/>
      <c r="B208" s="13"/>
      <c r="C208" s="13"/>
      <c r="D208" s="13"/>
      <c r="E208" s="13"/>
      <c r="F208" s="13"/>
      <c r="G208" s="13"/>
      <c r="H208" s="13"/>
      <c r="I208" s="13"/>
      <c r="J208" s="13"/>
      <c r="K208" s="13"/>
      <c r="L208" s="13"/>
      <c r="M208" s="13"/>
      <c r="N208" s="10"/>
      <c r="O208" s="10"/>
      <c r="P208" s="13"/>
      <c r="Q208" s="13"/>
      <c r="R208" s="13"/>
      <c r="S208" s="10" t="s">
        <v>768</v>
      </c>
      <c r="T208" s="18" t="s">
        <v>767</v>
      </c>
      <c r="U208" s="13"/>
      <c r="V208" s="13"/>
      <c r="W208" s="13"/>
      <c r="X208" s="13"/>
      <c r="Y208" s="10"/>
      <c r="Z208" s="13"/>
      <c r="AA208" s="13"/>
      <c r="AB208" s="13"/>
      <c r="AC208" s="13"/>
      <c r="AD208" s="13"/>
    </row>
    <row r="209" spans="1:30" ht="10.5" customHeight="1" x14ac:dyDescent="0.25">
      <c r="A209" s="9"/>
      <c r="B209" s="13"/>
      <c r="C209" s="13"/>
      <c r="D209" s="13"/>
      <c r="E209" s="13"/>
      <c r="F209" s="13"/>
      <c r="G209" s="13"/>
      <c r="H209" s="13"/>
      <c r="I209" s="13"/>
      <c r="J209" s="13"/>
      <c r="K209" s="13"/>
      <c r="L209" s="13"/>
      <c r="M209" s="13"/>
      <c r="N209" s="10"/>
      <c r="O209" s="10"/>
      <c r="P209" s="13"/>
      <c r="Q209" s="13"/>
      <c r="R209" s="13"/>
      <c r="S209" s="10" t="s">
        <v>774</v>
      </c>
      <c r="T209" s="18" t="s">
        <v>773</v>
      </c>
      <c r="U209" s="13"/>
      <c r="V209" s="13"/>
      <c r="W209" s="13"/>
      <c r="X209" s="13"/>
      <c r="Y209" s="10"/>
      <c r="Z209" s="13"/>
      <c r="AA209" s="13"/>
      <c r="AB209" s="13"/>
      <c r="AC209" s="13"/>
      <c r="AD209" s="13"/>
    </row>
    <row r="210" spans="1:30" ht="10.5" customHeight="1" x14ac:dyDescent="0.25">
      <c r="A210" s="9"/>
      <c r="B210" s="13"/>
      <c r="C210" s="13"/>
      <c r="D210" s="13"/>
      <c r="E210" s="13"/>
      <c r="F210" s="13"/>
      <c r="G210" s="13"/>
      <c r="H210" s="13"/>
      <c r="I210" s="13"/>
      <c r="J210" s="13"/>
      <c r="K210" s="13"/>
      <c r="L210" s="13"/>
      <c r="M210" s="13"/>
      <c r="N210" s="10"/>
      <c r="O210" s="10"/>
      <c r="P210" s="13"/>
      <c r="Q210" s="13"/>
      <c r="R210" s="13"/>
      <c r="S210" s="10" t="s">
        <v>782</v>
      </c>
      <c r="T210" s="18" t="s">
        <v>781</v>
      </c>
      <c r="U210" s="13"/>
      <c r="V210" s="13"/>
      <c r="W210" s="13"/>
      <c r="X210" s="13"/>
      <c r="Y210" s="10"/>
      <c r="Z210" s="13"/>
      <c r="AA210" s="13"/>
      <c r="AB210" s="13"/>
      <c r="AC210" s="13"/>
      <c r="AD210" s="13"/>
    </row>
    <row r="211" spans="1:30" ht="10.5" customHeight="1" x14ac:dyDescent="0.25">
      <c r="A211" s="9"/>
      <c r="B211" s="13"/>
      <c r="C211" s="13"/>
      <c r="D211" s="13"/>
      <c r="E211" s="13"/>
      <c r="F211" s="13"/>
      <c r="G211" s="13"/>
      <c r="H211" s="13"/>
      <c r="I211" s="13"/>
      <c r="J211" s="13"/>
      <c r="K211" s="13"/>
      <c r="L211" s="13"/>
      <c r="M211" s="13"/>
      <c r="N211" s="10"/>
      <c r="O211" s="10"/>
      <c r="P211" s="13"/>
      <c r="Q211" s="13"/>
      <c r="R211" s="13"/>
      <c r="S211" s="10" t="s">
        <v>786</v>
      </c>
      <c r="T211" s="18" t="s">
        <v>785</v>
      </c>
      <c r="U211" s="13"/>
      <c r="V211" s="13"/>
      <c r="W211" s="13"/>
      <c r="X211" s="13"/>
      <c r="Y211" s="10"/>
      <c r="Z211" s="13"/>
      <c r="AA211" s="13"/>
      <c r="AB211" s="13"/>
      <c r="AC211" s="13"/>
      <c r="AD211" s="13"/>
    </row>
    <row r="212" spans="1:30" ht="10.5" customHeight="1" x14ac:dyDescent="0.25">
      <c r="A212" s="9"/>
      <c r="B212" s="13"/>
      <c r="C212" s="13"/>
      <c r="D212" s="13"/>
      <c r="E212" s="13"/>
      <c r="F212" s="13"/>
      <c r="G212" s="13"/>
      <c r="H212" s="13"/>
      <c r="I212" s="13"/>
      <c r="J212" s="13"/>
      <c r="K212" s="13"/>
      <c r="L212" s="13"/>
      <c r="M212" s="13"/>
      <c r="N212" s="10"/>
      <c r="O212" s="10"/>
      <c r="P212" s="13"/>
      <c r="Q212" s="13"/>
      <c r="R212" s="13"/>
      <c r="S212" s="10" t="s">
        <v>788</v>
      </c>
      <c r="T212" s="18" t="s">
        <v>787</v>
      </c>
      <c r="U212" s="13"/>
      <c r="V212" s="13"/>
      <c r="W212" s="13"/>
      <c r="X212" s="13"/>
      <c r="Y212" s="10"/>
      <c r="Z212" s="13"/>
      <c r="AA212" s="13"/>
      <c r="AB212" s="13"/>
      <c r="AC212" s="13"/>
      <c r="AD212" s="13"/>
    </row>
    <row r="213" spans="1:30" ht="10.5" customHeight="1" x14ac:dyDescent="0.25">
      <c r="A213" s="9"/>
      <c r="B213" s="13"/>
      <c r="C213" s="13"/>
      <c r="D213" s="13"/>
      <c r="E213" s="13"/>
      <c r="F213" s="13"/>
      <c r="G213" s="13"/>
      <c r="H213" s="13"/>
      <c r="I213" s="13"/>
      <c r="J213" s="13"/>
      <c r="K213" s="13"/>
      <c r="L213" s="13"/>
      <c r="M213" s="13"/>
      <c r="N213" s="10"/>
      <c r="O213" s="10"/>
      <c r="P213" s="13"/>
      <c r="Q213" s="13"/>
      <c r="R213" s="13"/>
      <c r="S213" s="10" t="s">
        <v>790</v>
      </c>
      <c r="T213" s="18" t="s">
        <v>789</v>
      </c>
      <c r="U213" s="13"/>
      <c r="V213" s="13"/>
      <c r="W213" s="13"/>
      <c r="X213" s="13"/>
      <c r="Y213" s="10"/>
      <c r="Z213" s="13"/>
      <c r="AA213" s="13"/>
      <c r="AB213" s="13"/>
      <c r="AC213" s="13"/>
      <c r="AD213" s="13"/>
    </row>
    <row r="214" spans="1:30" ht="10.5" customHeight="1" x14ac:dyDescent="0.25">
      <c r="A214" s="9"/>
      <c r="B214" s="13"/>
      <c r="C214" s="13"/>
      <c r="D214" s="13"/>
      <c r="E214" s="13"/>
      <c r="F214" s="13"/>
      <c r="G214" s="13"/>
      <c r="H214" s="13"/>
      <c r="I214" s="13"/>
      <c r="J214" s="13"/>
      <c r="K214" s="13"/>
      <c r="L214" s="13"/>
      <c r="M214" s="13"/>
      <c r="N214" s="10"/>
      <c r="O214" s="10"/>
      <c r="P214" s="13"/>
      <c r="Q214" s="13"/>
      <c r="R214" s="13"/>
      <c r="S214" s="10" t="s">
        <v>792</v>
      </c>
      <c r="T214" s="18" t="s">
        <v>791</v>
      </c>
      <c r="U214" s="13"/>
      <c r="V214" s="13"/>
      <c r="W214" s="13"/>
      <c r="X214" s="13"/>
      <c r="Y214" s="10"/>
      <c r="Z214" s="13"/>
      <c r="AA214" s="13"/>
      <c r="AB214" s="13"/>
      <c r="AC214" s="13"/>
      <c r="AD214" s="13"/>
    </row>
    <row r="215" spans="1:30" ht="10.5" customHeight="1" x14ac:dyDescent="0.25">
      <c r="A215" s="9"/>
      <c r="B215" s="13"/>
      <c r="C215" s="13"/>
      <c r="D215" s="13"/>
      <c r="E215" s="13"/>
      <c r="F215" s="13"/>
      <c r="G215" s="13"/>
      <c r="H215" s="13"/>
      <c r="I215" s="13"/>
      <c r="J215" s="13"/>
      <c r="K215" s="13"/>
      <c r="L215" s="13"/>
      <c r="M215" s="13"/>
      <c r="N215" s="10"/>
      <c r="O215" s="10"/>
      <c r="P215" s="13"/>
      <c r="Q215" s="13"/>
      <c r="R215" s="13"/>
      <c r="S215" s="10" t="s">
        <v>794</v>
      </c>
      <c r="T215" s="18" t="s">
        <v>793</v>
      </c>
      <c r="U215" s="13"/>
      <c r="V215" s="13"/>
      <c r="W215" s="13"/>
      <c r="X215" s="13"/>
      <c r="Y215" s="10"/>
      <c r="Z215" s="13"/>
      <c r="AA215" s="13"/>
      <c r="AB215" s="13"/>
      <c r="AC215" s="13"/>
      <c r="AD215" s="13"/>
    </row>
    <row r="216" spans="1:30" ht="10.5" customHeight="1" x14ac:dyDescent="0.25">
      <c r="A216" s="9"/>
      <c r="B216" s="13"/>
      <c r="C216" s="13"/>
      <c r="D216" s="13"/>
      <c r="E216" s="13"/>
      <c r="F216" s="13"/>
      <c r="G216" s="13"/>
      <c r="H216" s="13"/>
      <c r="I216" s="13"/>
      <c r="J216" s="13"/>
      <c r="K216" s="13"/>
      <c r="L216" s="13"/>
      <c r="M216" s="13"/>
      <c r="N216" s="10"/>
      <c r="O216" s="10"/>
      <c r="P216" s="13"/>
      <c r="Q216" s="13"/>
      <c r="R216" s="13"/>
      <c r="S216" s="10" t="s">
        <v>796</v>
      </c>
      <c r="T216" s="18" t="s">
        <v>795</v>
      </c>
      <c r="U216" s="13"/>
      <c r="V216" s="13"/>
      <c r="W216" s="13"/>
      <c r="X216" s="13"/>
      <c r="Y216" s="10"/>
      <c r="Z216" s="13"/>
      <c r="AA216" s="13"/>
      <c r="AB216" s="13"/>
      <c r="AC216" s="13"/>
      <c r="AD216" s="13"/>
    </row>
    <row r="217" spans="1:30" ht="10.5" customHeight="1" x14ac:dyDescent="0.25">
      <c r="A217" s="9"/>
      <c r="B217" s="13"/>
      <c r="C217" s="13"/>
      <c r="D217" s="13"/>
      <c r="E217" s="13"/>
      <c r="F217" s="13"/>
      <c r="G217" s="13"/>
      <c r="H217" s="13"/>
      <c r="I217" s="13"/>
      <c r="J217" s="13"/>
      <c r="K217" s="13"/>
      <c r="L217" s="13"/>
      <c r="M217" s="13"/>
      <c r="N217" s="10"/>
      <c r="O217" s="10"/>
      <c r="P217" s="13"/>
      <c r="Q217" s="13"/>
      <c r="R217" s="13"/>
      <c r="S217" s="10" t="s">
        <v>798</v>
      </c>
      <c r="T217" s="18" t="s">
        <v>797</v>
      </c>
      <c r="U217" s="13"/>
      <c r="V217" s="13"/>
      <c r="W217" s="13"/>
      <c r="X217" s="13"/>
      <c r="Y217" s="10"/>
      <c r="Z217" s="13"/>
      <c r="AA217" s="13"/>
      <c r="AB217" s="13"/>
      <c r="AC217" s="13"/>
      <c r="AD217" s="13"/>
    </row>
    <row r="218" spans="1:30" ht="10.5" customHeight="1" x14ac:dyDescent="0.25">
      <c r="A218" s="9"/>
      <c r="B218" s="13"/>
      <c r="C218" s="13"/>
      <c r="D218" s="13"/>
      <c r="E218" s="13"/>
      <c r="F218" s="13"/>
      <c r="G218" s="13"/>
      <c r="H218" s="13"/>
      <c r="I218" s="13"/>
      <c r="J218" s="13"/>
      <c r="K218" s="13"/>
      <c r="L218" s="13"/>
      <c r="M218" s="13"/>
      <c r="N218" s="10"/>
      <c r="O218" s="10"/>
      <c r="P218" s="13"/>
      <c r="Q218" s="13"/>
      <c r="R218" s="13"/>
      <c r="S218" s="10" t="s">
        <v>800</v>
      </c>
      <c r="T218" s="18" t="s">
        <v>799</v>
      </c>
      <c r="U218" s="13"/>
      <c r="V218" s="13"/>
      <c r="W218" s="13"/>
      <c r="X218" s="13"/>
      <c r="Y218" s="10"/>
      <c r="Z218" s="13"/>
      <c r="AA218" s="13"/>
      <c r="AB218" s="13"/>
      <c r="AC218" s="13"/>
      <c r="AD218" s="13"/>
    </row>
    <row r="219" spans="1:30" ht="10.5" customHeight="1" x14ac:dyDescent="0.25">
      <c r="A219" s="9"/>
      <c r="B219" s="13"/>
      <c r="C219" s="13"/>
      <c r="D219" s="13"/>
      <c r="E219" s="13"/>
      <c r="F219" s="13"/>
      <c r="G219" s="13"/>
      <c r="H219" s="13"/>
      <c r="I219" s="13"/>
      <c r="J219" s="13"/>
      <c r="K219" s="13"/>
      <c r="L219" s="13"/>
      <c r="M219" s="13"/>
      <c r="N219" s="10"/>
      <c r="O219" s="10"/>
      <c r="P219" s="13"/>
      <c r="Q219" s="13"/>
      <c r="R219" s="13"/>
      <c r="S219" s="10" t="s">
        <v>802</v>
      </c>
      <c r="T219" s="18" t="s">
        <v>801</v>
      </c>
      <c r="U219" s="13"/>
      <c r="V219" s="13"/>
      <c r="W219" s="13"/>
      <c r="X219" s="13"/>
      <c r="Y219" s="10"/>
      <c r="Z219" s="13"/>
      <c r="AA219" s="13"/>
      <c r="AB219" s="13"/>
      <c r="AC219" s="13"/>
      <c r="AD219" s="13"/>
    </row>
    <row r="220" spans="1:30" ht="10.5" customHeight="1" x14ac:dyDescent="0.25">
      <c r="A220" s="9"/>
      <c r="B220" s="13"/>
      <c r="C220" s="13"/>
      <c r="D220" s="13"/>
      <c r="E220" s="13"/>
      <c r="F220" s="13"/>
      <c r="G220" s="13"/>
      <c r="H220" s="13"/>
      <c r="I220" s="13"/>
      <c r="J220" s="13"/>
      <c r="K220" s="13"/>
      <c r="L220" s="13"/>
      <c r="M220" s="13"/>
      <c r="N220" s="10"/>
      <c r="O220" s="10"/>
      <c r="P220" s="13"/>
      <c r="Q220" s="13"/>
      <c r="R220" s="13"/>
      <c r="S220" s="10" t="s">
        <v>804</v>
      </c>
      <c r="T220" s="18" t="s">
        <v>803</v>
      </c>
      <c r="U220" s="13"/>
      <c r="V220" s="13"/>
      <c r="W220" s="13"/>
      <c r="X220" s="13"/>
      <c r="Y220" s="10"/>
      <c r="Z220" s="13"/>
      <c r="AA220" s="13"/>
      <c r="AB220" s="13"/>
      <c r="AC220" s="13"/>
      <c r="AD220" s="13"/>
    </row>
    <row r="221" spans="1:30" ht="10.5" customHeight="1" x14ac:dyDescent="0.25">
      <c r="A221" s="9"/>
      <c r="B221" s="13"/>
      <c r="C221" s="13"/>
      <c r="D221" s="13"/>
      <c r="E221" s="13"/>
      <c r="F221" s="13"/>
      <c r="G221" s="13"/>
      <c r="H221" s="13"/>
      <c r="I221" s="13"/>
      <c r="J221" s="13"/>
      <c r="K221" s="13"/>
      <c r="L221" s="13"/>
      <c r="M221" s="13"/>
      <c r="N221" s="10"/>
      <c r="O221" s="10"/>
      <c r="P221" s="13"/>
      <c r="Q221" s="13"/>
      <c r="R221" s="13"/>
      <c r="S221" s="10" t="s">
        <v>806</v>
      </c>
      <c r="T221" s="18" t="s">
        <v>805</v>
      </c>
      <c r="U221" s="13"/>
      <c r="V221" s="13"/>
      <c r="W221" s="13"/>
      <c r="X221" s="13"/>
      <c r="Y221" s="10"/>
      <c r="Z221" s="13"/>
      <c r="AA221" s="13"/>
      <c r="AB221" s="13"/>
      <c r="AC221" s="13"/>
      <c r="AD221" s="13"/>
    </row>
    <row r="222" spans="1:30" ht="10.5" customHeight="1" x14ac:dyDescent="0.25">
      <c r="A222" s="9"/>
      <c r="B222" s="13"/>
      <c r="C222" s="13"/>
      <c r="D222" s="13"/>
      <c r="E222" s="13"/>
      <c r="F222" s="13"/>
      <c r="G222" s="13"/>
      <c r="H222" s="13"/>
      <c r="I222" s="13"/>
      <c r="J222" s="13"/>
      <c r="K222" s="13"/>
      <c r="L222" s="13"/>
      <c r="M222" s="13"/>
      <c r="N222" s="10"/>
      <c r="O222" s="10"/>
      <c r="P222" s="13"/>
      <c r="Q222" s="13"/>
      <c r="R222" s="13"/>
      <c r="S222" s="10" t="s">
        <v>808</v>
      </c>
      <c r="T222" s="18" t="s">
        <v>807</v>
      </c>
      <c r="U222" s="13"/>
      <c r="V222" s="13"/>
      <c r="W222" s="13"/>
      <c r="X222" s="13"/>
      <c r="Y222" s="10"/>
      <c r="Z222" s="13"/>
      <c r="AA222" s="13"/>
      <c r="AB222" s="13"/>
      <c r="AC222" s="13"/>
      <c r="AD222" s="13"/>
    </row>
    <row r="223" spans="1:30" ht="10.5" customHeight="1" x14ac:dyDescent="0.25">
      <c r="A223" s="9"/>
      <c r="B223" s="13"/>
      <c r="C223" s="13"/>
      <c r="D223" s="13"/>
      <c r="E223" s="13"/>
      <c r="F223" s="13"/>
      <c r="G223" s="13"/>
      <c r="H223" s="13"/>
      <c r="I223" s="13"/>
      <c r="J223" s="13"/>
      <c r="K223" s="13"/>
      <c r="L223" s="13"/>
      <c r="M223" s="13"/>
      <c r="N223" s="10"/>
      <c r="O223" s="10"/>
      <c r="P223" s="13"/>
      <c r="Q223" s="13"/>
      <c r="R223" s="13"/>
      <c r="S223" s="10" t="s">
        <v>810</v>
      </c>
      <c r="T223" s="18" t="s">
        <v>809</v>
      </c>
      <c r="U223" s="13"/>
      <c r="V223" s="13"/>
      <c r="W223" s="13"/>
      <c r="X223" s="13"/>
      <c r="Y223" s="10"/>
      <c r="Z223" s="13"/>
      <c r="AA223" s="13"/>
      <c r="AB223" s="13"/>
      <c r="AC223" s="13"/>
      <c r="AD223" s="13"/>
    </row>
    <row r="224" spans="1:30" ht="10.5" customHeight="1" x14ac:dyDescent="0.25">
      <c r="A224" s="9"/>
      <c r="B224" s="13"/>
      <c r="C224" s="13"/>
      <c r="D224" s="13"/>
      <c r="E224" s="13"/>
      <c r="F224" s="13"/>
      <c r="G224" s="13"/>
      <c r="H224" s="13"/>
      <c r="I224" s="13"/>
      <c r="J224" s="13"/>
      <c r="K224" s="13"/>
      <c r="L224" s="13"/>
      <c r="M224" s="13"/>
      <c r="N224" s="10"/>
      <c r="O224" s="10"/>
      <c r="P224" s="13"/>
      <c r="Q224" s="13"/>
      <c r="R224" s="13"/>
      <c r="S224" s="10" t="s">
        <v>812</v>
      </c>
      <c r="T224" s="18" t="s">
        <v>811</v>
      </c>
      <c r="U224" s="13"/>
      <c r="V224" s="13"/>
      <c r="W224" s="13"/>
      <c r="X224" s="13"/>
      <c r="Y224" s="10"/>
      <c r="Z224" s="13"/>
      <c r="AA224" s="13"/>
      <c r="AB224" s="13"/>
      <c r="AC224" s="13"/>
      <c r="AD224" s="13"/>
    </row>
    <row r="225" spans="1:30" ht="10.5" customHeight="1" x14ac:dyDescent="0.25">
      <c r="A225" s="9"/>
      <c r="B225" s="13"/>
      <c r="C225" s="13"/>
      <c r="D225" s="13"/>
      <c r="E225" s="13"/>
      <c r="F225" s="13"/>
      <c r="G225" s="13"/>
      <c r="H225" s="13"/>
      <c r="I225" s="13"/>
      <c r="J225" s="13"/>
      <c r="K225" s="13"/>
      <c r="L225" s="13"/>
      <c r="M225" s="13"/>
      <c r="N225" s="10"/>
      <c r="O225" s="10"/>
      <c r="P225" s="13"/>
      <c r="Q225" s="13"/>
      <c r="R225" s="13"/>
      <c r="S225" s="10" t="s">
        <v>814</v>
      </c>
      <c r="T225" s="18" t="s">
        <v>813</v>
      </c>
      <c r="U225" s="13"/>
      <c r="V225" s="13"/>
      <c r="W225" s="13"/>
      <c r="X225" s="13"/>
      <c r="Y225" s="10"/>
      <c r="Z225" s="13"/>
      <c r="AA225" s="13"/>
      <c r="AB225" s="13"/>
      <c r="AC225" s="13"/>
      <c r="AD225" s="13"/>
    </row>
    <row r="226" spans="1:30" ht="10.5" customHeight="1" x14ac:dyDescent="0.25">
      <c r="A226" s="9"/>
      <c r="B226" s="13"/>
      <c r="C226" s="13"/>
      <c r="D226" s="13"/>
      <c r="E226" s="13"/>
      <c r="F226" s="13"/>
      <c r="G226" s="13"/>
      <c r="H226" s="13"/>
      <c r="I226" s="13"/>
      <c r="J226" s="13"/>
      <c r="K226" s="13"/>
      <c r="L226" s="13"/>
      <c r="M226" s="13"/>
      <c r="N226" s="10"/>
      <c r="O226" s="10"/>
      <c r="P226" s="13"/>
      <c r="Q226" s="13"/>
      <c r="R226" s="13"/>
      <c r="S226" s="10" t="s">
        <v>816</v>
      </c>
      <c r="T226" s="18" t="s">
        <v>815</v>
      </c>
      <c r="U226" s="13"/>
      <c r="V226" s="13"/>
      <c r="W226" s="13"/>
      <c r="X226" s="13"/>
      <c r="Y226" s="10"/>
      <c r="Z226" s="13"/>
      <c r="AA226" s="13"/>
      <c r="AB226" s="13"/>
      <c r="AC226" s="13"/>
      <c r="AD226" s="13"/>
    </row>
    <row r="227" spans="1:30" ht="10.5" customHeight="1" x14ac:dyDescent="0.25">
      <c r="A227" s="9"/>
      <c r="B227" s="13"/>
      <c r="C227" s="13"/>
      <c r="D227" s="13"/>
      <c r="E227" s="13"/>
      <c r="F227" s="13"/>
      <c r="G227" s="13"/>
      <c r="H227" s="13"/>
      <c r="I227" s="13"/>
      <c r="J227" s="13"/>
      <c r="K227" s="13"/>
      <c r="L227" s="13"/>
      <c r="M227" s="13"/>
      <c r="N227" s="10"/>
      <c r="O227" s="10"/>
      <c r="P227" s="13"/>
      <c r="Q227" s="13"/>
      <c r="R227" s="13"/>
      <c r="S227" s="10" t="s">
        <v>818</v>
      </c>
      <c r="T227" s="18" t="s">
        <v>817</v>
      </c>
      <c r="U227" s="13"/>
      <c r="V227" s="13"/>
      <c r="W227" s="13"/>
      <c r="X227" s="13"/>
      <c r="Y227" s="10"/>
      <c r="Z227" s="13"/>
      <c r="AA227" s="13"/>
      <c r="AB227" s="13"/>
      <c r="AC227" s="13"/>
      <c r="AD227" s="13"/>
    </row>
    <row r="228" spans="1:30" ht="10.5" customHeight="1" x14ac:dyDescent="0.25">
      <c r="A228" s="9"/>
      <c r="B228" s="13"/>
      <c r="C228" s="13"/>
      <c r="D228" s="13"/>
      <c r="E228" s="13"/>
      <c r="F228" s="13"/>
      <c r="G228" s="13"/>
      <c r="H228" s="13"/>
      <c r="I228" s="13"/>
      <c r="J228" s="13"/>
      <c r="K228" s="13"/>
      <c r="L228" s="13"/>
      <c r="M228" s="13"/>
      <c r="N228" s="10"/>
      <c r="O228" s="10"/>
      <c r="P228" s="13"/>
      <c r="Q228" s="13"/>
      <c r="R228" s="13"/>
      <c r="S228" s="10" t="s">
        <v>820</v>
      </c>
      <c r="T228" s="18" t="s">
        <v>819</v>
      </c>
      <c r="U228" s="13"/>
      <c r="V228" s="13"/>
      <c r="W228" s="13"/>
      <c r="X228" s="13"/>
      <c r="Y228" s="10"/>
      <c r="Z228" s="13"/>
      <c r="AA228" s="13"/>
      <c r="AB228" s="13"/>
      <c r="AC228" s="13"/>
      <c r="AD228" s="13"/>
    </row>
    <row r="229" spans="1:30" ht="10.5" customHeight="1" x14ac:dyDescent="0.25">
      <c r="A229" s="9"/>
      <c r="B229" s="13"/>
      <c r="C229" s="13"/>
      <c r="D229" s="13"/>
      <c r="E229" s="13"/>
      <c r="F229" s="13"/>
      <c r="G229" s="13"/>
      <c r="H229" s="13"/>
      <c r="I229" s="13"/>
      <c r="J229" s="13"/>
      <c r="K229" s="13"/>
      <c r="L229" s="13"/>
      <c r="M229" s="13"/>
      <c r="N229" s="10"/>
      <c r="O229" s="10"/>
      <c r="P229" s="13"/>
      <c r="Q229" s="13"/>
      <c r="R229" s="13"/>
      <c r="S229" s="10" t="s">
        <v>822</v>
      </c>
      <c r="T229" s="18" t="s">
        <v>821</v>
      </c>
      <c r="U229" s="13"/>
      <c r="V229" s="13"/>
      <c r="W229" s="13"/>
      <c r="X229" s="13"/>
      <c r="Y229" s="10"/>
      <c r="Z229" s="13"/>
      <c r="AA229" s="13"/>
      <c r="AB229" s="13"/>
      <c r="AC229" s="13"/>
      <c r="AD229" s="13"/>
    </row>
    <row r="230" spans="1:30" ht="10.5" customHeight="1" x14ac:dyDescent="0.25">
      <c r="A230" s="9"/>
      <c r="B230" s="13"/>
      <c r="C230" s="13"/>
      <c r="D230" s="13"/>
      <c r="E230" s="13"/>
      <c r="F230" s="13"/>
      <c r="G230" s="13"/>
      <c r="H230" s="13"/>
      <c r="I230" s="13"/>
      <c r="J230" s="13"/>
      <c r="K230" s="13"/>
      <c r="L230" s="13"/>
      <c r="M230" s="13"/>
      <c r="N230" s="10"/>
      <c r="O230" s="10"/>
      <c r="P230" s="13"/>
      <c r="Q230" s="13"/>
      <c r="R230" s="13"/>
      <c r="S230" s="10" t="s">
        <v>824</v>
      </c>
      <c r="T230" s="18" t="s">
        <v>823</v>
      </c>
      <c r="U230" s="13"/>
      <c r="V230" s="13"/>
      <c r="W230" s="13"/>
      <c r="X230" s="13"/>
      <c r="Y230" s="10"/>
      <c r="Z230" s="13"/>
      <c r="AA230" s="13"/>
      <c r="AB230" s="13"/>
      <c r="AC230" s="13"/>
      <c r="AD230" s="13"/>
    </row>
    <row r="231" spans="1:30" ht="10.5" customHeight="1" x14ac:dyDescent="0.25">
      <c r="A231" s="9"/>
      <c r="B231" s="13"/>
      <c r="C231" s="13"/>
      <c r="D231" s="13"/>
      <c r="E231" s="13"/>
      <c r="F231" s="13"/>
      <c r="G231" s="13"/>
      <c r="H231" s="13"/>
      <c r="I231" s="13"/>
      <c r="J231" s="13"/>
      <c r="K231" s="13"/>
      <c r="L231" s="13"/>
      <c r="M231" s="13"/>
      <c r="N231" s="10"/>
      <c r="O231" s="10"/>
      <c r="P231" s="13"/>
      <c r="Q231" s="13"/>
      <c r="R231" s="13"/>
      <c r="S231" s="10" t="s">
        <v>828</v>
      </c>
      <c r="T231" s="18" t="s">
        <v>827</v>
      </c>
      <c r="U231" s="13"/>
      <c r="V231" s="13"/>
      <c r="W231" s="13"/>
      <c r="X231" s="13"/>
      <c r="Y231" s="10"/>
      <c r="Z231" s="13"/>
      <c r="AA231" s="13"/>
      <c r="AB231" s="13"/>
      <c r="AC231" s="13"/>
      <c r="AD231" s="13"/>
    </row>
    <row r="232" spans="1:30" ht="10.5" customHeight="1" x14ac:dyDescent="0.25">
      <c r="A232" s="9"/>
      <c r="B232" s="13"/>
      <c r="C232" s="13"/>
      <c r="D232" s="13"/>
      <c r="E232" s="13"/>
      <c r="F232" s="13"/>
      <c r="G232" s="13"/>
      <c r="H232" s="13"/>
      <c r="I232" s="13"/>
      <c r="J232" s="13"/>
      <c r="K232" s="13"/>
      <c r="L232" s="13"/>
      <c r="M232" s="13"/>
      <c r="N232" s="10"/>
      <c r="O232" s="10"/>
      <c r="P232" s="13"/>
      <c r="Q232" s="13"/>
      <c r="R232" s="13"/>
      <c r="S232" s="10" t="s">
        <v>830</v>
      </c>
      <c r="T232" s="18" t="s">
        <v>829</v>
      </c>
      <c r="U232" s="13"/>
      <c r="V232" s="13"/>
      <c r="W232" s="13"/>
      <c r="X232" s="13"/>
      <c r="Y232" s="10"/>
      <c r="Z232" s="13"/>
      <c r="AA232" s="13"/>
      <c r="AB232" s="13"/>
      <c r="AC232" s="13"/>
      <c r="AD232" s="13"/>
    </row>
    <row r="233" spans="1:30" ht="10.5" customHeight="1" x14ac:dyDescent="0.25">
      <c r="A233" s="9"/>
      <c r="B233" s="13"/>
      <c r="C233" s="13"/>
      <c r="D233" s="13"/>
      <c r="E233" s="13"/>
      <c r="F233" s="13"/>
      <c r="G233" s="13"/>
      <c r="H233" s="13"/>
      <c r="I233" s="13"/>
      <c r="J233" s="13"/>
      <c r="K233" s="13"/>
      <c r="L233" s="13"/>
      <c r="M233" s="13"/>
      <c r="N233" s="10"/>
      <c r="O233" s="10"/>
      <c r="P233" s="13"/>
      <c r="Q233" s="13"/>
      <c r="R233" s="13"/>
      <c r="S233" s="10" t="s">
        <v>834</v>
      </c>
      <c r="T233" s="18" t="s">
        <v>833</v>
      </c>
      <c r="U233" s="13"/>
      <c r="V233" s="13"/>
      <c r="W233" s="13"/>
      <c r="X233" s="13"/>
      <c r="Y233" s="10"/>
      <c r="Z233" s="13"/>
      <c r="AA233" s="13"/>
      <c r="AB233" s="13"/>
      <c r="AC233" s="13"/>
      <c r="AD233" s="13"/>
    </row>
    <row r="234" spans="1:30" ht="10.5" customHeight="1" x14ac:dyDescent="0.25">
      <c r="A234" s="9"/>
      <c r="B234" s="13"/>
      <c r="C234" s="13"/>
      <c r="D234" s="13"/>
      <c r="E234" s="13"/>
      <c r="F234" s="13"/>
      <c r="G234" s="13"/>
      <c r="H234" s="13"/>
      <c r="I234" s="13"/>
      <c r="J234" s="13"/>
      <c r="K234" s="13"/>
      <c r="L234" s="13"/>
      <c r="M234" s="13"/>
      <c r="N234" s="10"/>
      <c r="O234" s="10"/>
      <c r="P234" s="13"/>
      <c r="Q234" s="13"/>
      <c r="R234" s="13"/>
      <c r="S234" s="10" t="s">
        <v>838</v>
      </c>
      <c r="T234" s="18" t="s">
        <v>837</v>
      </c>
      <c r="U234" s="13"/>
      <c r="V234" s="13"/>
      <c r="W234" s="13"/>
      <c r="X234" s="13"/>
      <c r="Y234" s="10"/>
      <c r="Z234" s="13"/>
      <c r="AA234" s="13"/>
      <c r="AB234" s="13"/>
      <c r="AC234" s="13"/>
      <c r="AD234" s="13"/>
    </row>
    <row r="235" spans="1:30" ht="10.5" customHeight="1" x14ac:dyDescent="0.25">
      <c r="A235" s="9"/>
      <c r="B235" s="13"/>
      <c r="C235" s="13"/>
      <c r="D235" s="13"/>
      <c r="E235" s="13"/>
      <c r="F235" s="13"/>
      <c r="G235" s="13"/>
      <c r="H235" s="13"/>
      <c r="I235" s="13"/>
      <c r="J235" s="13"/>
      <c r="K235" s="13"/>
      <c r="L235" s="13"/>
      <c r="M235" s="13"/>
      <c r="N235" s="10"/>
      <c r="O235" s="10"/>
      <c r="P235" s="13"/>
      <c r="Q235" s="13"/>
      <c r="R235" s="13"/>
      <c r="S235" s="10" t="s">
        <v>840</v>
      </c>
      <c r="T235" s="18" t="s">
        <v>839</v>
      </c>
      <c r="U235" s="13"/>
      <c r="V235" s="13"/>
      <c r="W235" s="13"/>
      <c r="X235" s="13"/>
      <c r="Y235" s="10"/>
      <c r="Z235" s="13"/>
      <c r="AA235" s="13"/>
      <c r="AB235" s="13"/>
      <c r="AC235" s="13"/>
      <c r="AD235" s="13"/>
    </row>
    <row r="236" spans="1:30" ht="10.5" customHeight="1" x14ac:dyDescent="0.25">
      <c r="A236" s="9"/>
      <c r="B236" s="13"/>
      <c r="C236" s="13"/>
      <c r="D236" s="13"/>
      <c r="E236" s="13"/>
      <c r="F236" s="13"/>
      <c r="G236" s="13"/>
      <c r="H236" s="13"/>
      <c r="I236" s="13"/>
      <c r="J236" s="13"/>
      <c r="K236" s="13"/>
      <c r="L236" s="13"/>
      <c r="M236" s="13"/>
      <c r="N236" s="10"/>
      <c r="O236" s="10"/>
      <c r="P236" s="13"/>
      <c r="Q236" s="13"/>
      <c r="R236" s="13"/>
      <c r="S236" s="10" t="s">
        <v>844</v>
      </c>
      <c r="T236" s="18" t="s">
        <v>843</v>
      </c>
      <c r="U236" s="13"/>
      <c r="V236" s="13"/>
      <c r="W236" s="13"/>
      <c r="X236" s="13"/>
      <c r="Y236" s="10"/>
      <c r="Z236" s="13"/>
      <c r="AA236" s="13"/>
      <c r="AB236" s="13"/>
      <c r="AC236" s="13"/>
      <c r="AD236" s="13"/>
    </row>
    <row r="237" spans="1:30" ht="10.5" customHeight="1" x14ac:dyDescent="0.25">
      <c r="A237" s="9"/>
      <c r="B237" s="13"/>
      <c r="C237" s="13"/>
      <c r="D237" s="13"/>
      <c r="E237" s="13"/>
      <c r="F237" s="13"/>
      <c r="G237" s="13"/>
      <c r="H237" s="13"/>
      <c r="I237" s="13"/>
      <c r="J237" s="13"/>
      <c r="K237" s="13"/>
      <c r="L237" s="13"/>
      <c r="M237" s="13"/>
      <c r="N237" s="10"/>
      <c r="O237" s="10"/>
      <c r="P237" s="13"/>
      <c r="Q237" s="13"/>
      <c r="R237" s="13"/>
      <c r="S237" s="10" t="s">
        <v>846</v>
      </c>
      <c r="T237" s="18" t="s">
        <v>845</v>
      </c>
      <c r="U237" s="13"/>
      <c r="V237" s="13"/>
      <c r="W237" s="13"/>
      <c r="X237" s="13"/>
      <c r="Y237" s="10"/>
      <c r="Z237" s="13"/>
      <c r="AA237" s="13"/>
      <c r="AB237" s="13"/>
      <c r="AC237" s="13"/>
      <c r="AD237" s="13"/>
    </row>
    <row r="238" spans="1:30" ht="10.5" customHeight="1" x14ac:dyDescent="0.25">
      <c r="A238" s="9"/>
      <c r="B238" s="13"/>
      <c r="C238" s="13"/>
      <c r="D238" s="13"/>
      <c r="E238" s="13"/>
      <c r="F238" s="13"/>
      <c r="G238" s="13"/>
      <c r="H238" s="13"/>
      <c r="I238" s="13"/>
      <c r="J238" s="13"/>
      <c r="K238" s="13"/>
      <c r="L238" s="13"/>
      <c r="M238" s="13"/>
      <c r="N238" s="10"/>
      <c r="O238" s="10"/>
      <c r="P238" s="13"/>
      <c r="Q238" s="13"/>
      <c r="R238" s="13"/>
      <c r="S238" s="10" t="s">
        <v>848</v>
      </c>
      <c r="T238" s="18" t="s">
        <v>847</v>
      </c>
      <c r="U238" s="13"/>
      <c r="V238" s="13"/>
      <c r="W238" s="13"/>
      <c r="X238" s="13"/>
      <c r="Y238" s="10"/>
      <c r="Z238" s="13"/>
      <c r="AA238" s="13"/>
      <c r="AB238" s="13"/>
      <c r="AC238" s="13"/>
      <c r="AD238" s="13"/>
    </row>
    <row r="239" spans="1:30" ht="10.5" customHeight="1" x14ac:dyDescent="0.25">
      <c r="A239" s="9"/>
      <c r="B239" s="13"/>
      <c r="C239" s="13"/>
      <c r="D239" s="13"/>
      <c r="E239" s="13"/>
      <c r="F239" s="13"/>
      <c r="G239" s="13"/>
      <c r="H239" s="13"/>
      <c r="I239" s="13"/>
      <c r="J239" s="13"/>
      <c r="K239" s="13"/>
      <c r="L239" s="13"/>
      <c r="M239" s="13"/>
      <c r="N239" s="10"/>
      <c r="O239" s="10"/>
      <c r="P239" s="13"/>
      <c r="Q239" s="13"/>
      <c r="R239" s="13"/>
      <c r="S239" s="10" t="s">
        <v>850</v>
      </c>
      <c r="T239" s="18" t="s">
        <v>849</v>
      </c>
      <c r="U239" s="13"/>
      <c r="V239" s="13"/>
      <c r="W239" s="13"/>
      <c r="X239" s="13"/>
      <c r="Y239" s="10"/>
      <c r="Z239" s="13"/>
      <c r="AA239" s="13"/>
      <c r="AB239" s="13"/>
      <c r="AC239" s="13"/>
      <c r="AD239" s="13"/>
    </row>
    <row r="240" spans="1:30" ht="10.5" customHeight="1" x14ac:dyDescent="0.25">
      <c r="A240" s="9"/>
      <c r="B240" s="13"/>
      <c r="C240" s="13"/>
      <c r="D240" s="13"/>
      <c r="E240" s="13"/>
      <c r="F240" s="13"/>
      <c r="G240" s="13"/>
      <c r="H240" s="13"/>
      <c r="I240" s="13"/>
      <c r="J240" s="13"/>
      <c r="K240" s="13"/>
      <c r="L240" s="13"/>
      <c r="M240" s="13"/>
      <c r="N240" s="10"/>
      <c r="O240" s="10"/>
      <c r="P240" s="13"/>
      <c r="Q240" s="13"/>
      <c r="R240" s="13"/>
      <c r="S240" s="10" t="s">
        <v>852</v>
      </c>
      <c r="T240" s="18" t="s">
        <v>851</v>
      </c>
      <c r="U240" s="13"/>
      <c r="V240" s="13"/>
      <c r="W240" s="13"/>
      <c r="X240" s="13"/>
      <c r="Y240" s="10"/>
      <c r="Z240" s="13"/>
      <c r="AA240" s="13"/>
      <c r="AB240" s="13"/>
      <c r="AC240" s="13"/>
      <c r="AD240" s="13"/>
    </row>
    <row r="241" spans="1:30" ht="10.5" customHeight="1" x14ac:dyDescent="0.25">
      <c r="A241" s="9"/>
      <c r="B241" s="13"/>
      <c r="C241" s="13"/>
      <c r="D241" s="13"/>
      <c r="E241" s="13"/>
      <c r="F241" s="13"/>
      <c r="G241" s="13"/>
      <c r="H241" s="13"/>
      <c r="I241" s="13"/>
      <c r="J241" s="13"/>
      <c r="K241" s="13"/>
      <c r="L241" s="13"/>
      <c r="M241" s="13"/>
      <c r="N241" s="10"/>
      <c r="O241" s="10"/>
      <c r="P241" s="13"/>
      <c r="Q241" s="13"/>
      <c r="R241" s="13"/>
      <c r="S241" s="10" t="s">
        <v>856</v>
      </c>
      <c r="T241" s="18" t="s">
        <v>855</v>
      </c>
      <c r="U241" s="13"/>
      <c r="V241" s="13"/>
      <c r="W241" s="13"/>
      <c r="X241" s="13"/>
      <c r="Y241" s="10"/>
      <c r="Z241" s="13"/>
      <c r="AA241" s="13"/>
      <c r="AB241" s="13"/>
      <c r="AC241" s="13"/>
      <c r="AD241" s="13"/>
    </row>
    <row r="242" spans="1:30" ht="10.5" customHeight="1" x14ac:dyDescent="0.25">
      <c r="A242" s="9"/>
      <c r="B242" s="13"/>
      <c r="C242" s="13"/>
      <c r="D242" s="13"/>
      <c r="E242" s="13"/>
      <c r="F242" s="13"/>
      <c r="G242" s="13"/>
      <c r="H242" s="13"/>
      <c r="I242" s="13"/>
      <c r="J242" s="13"/>
      <c r="K242" s="13"/>
      <c r="L242" s="13"/>
      <c r="M242" s="13"/>
      <c r="N242" s="10"/>
      <c r="O242" s="10"/>
      <c r="P242" s="13"/>
      <c r="Q242" s="13"/>
      <c r="R242" s="13"/>
      <c r="S242" s="10" t="s">
        <v>858</v>
      </c>
      <c r="T242" s="18" t="s">
        <v>857</v>
      </c>
      <c r="U242" s="13"/>
      <c r="V242" s="13"/>
      <c r="W242" s="13"/>
      <c r="X242" s="13"/>
      <c r="Y242" s="10"/>
      <c r="Z242" s="13"/>
      <c r="AA242" s="13"/>
      <c r="AB242" s="13"/>
      <c r="AC242" s="13"/>
      <c r="AD242" s="13"/>
    </row>
    <row r="243" spans="1:30" ht="10.5" customHeight="1" x14ac:dyDescent="0.25">
      <c r="A243" s="9"/>
      <c r="B243" s="13"/>
      <c r="C243" s="13"/>
      <c r="D243" s="13"/>
      <c r="E243" s="13"/>
      <c r="F243" s="13"/>
      <c r="G243" s="13"/>
      <c r="H243" s="13"/>
      <c r="I243" s="13"/>
      <c r="J243" s="13"/>
      <c r="K243" s="13"/>
      <c r="L243" s="13"/>
      <c r="M243" s="13"/>
      <c r="N243" s="10"/>
      <c r="O243" s="10"/>
      <c r="P243" s="13"/>
      <c r="Q243" s="13"/>
      <c r="R243" s="13"/>
      <c r="S243" s="10" t="s">
        <v>860</v>
      </c>
      <c r="T243" s="18" t="s">
        <v>859</v>
      </c>
      <c r="U243" s="13"/>
      <c r="V243" s="13"/>
      <c r="W243" s="13"/>
      <c r="X243" s="13"/>
      <c r="Y243" s="10"/>
      <c r="Z243" s="13"/>
      <c r="AA243" s="13"/>
      <c r="AB243" s="13"/>
      <c r="AC243" s="13"/>
      <c r="AD243" s="13"/>
    </row>
    <row r="244" spans="1:30" ht="10.5" customHeight="1" x14ac:dyDescent="0.25">
      <c r="A244" s="9"/>
      <c r="B244" s="13"/>
      <c r="C244" s="13"/>
      <c r="D244" s="13"/>
      <c r="E244" s="13"/>
      <c r="F244" s="13"/>
      <c r="G244" s="13"/>
      <c r="H244" s="13"/>
      <c r="I244" s="13"/>
      <c r="J244" s="13"/>
      <c r="K244" s="13"/>
      <c r="L244" s="13"/>
      <c r="M244" s="13"/>
      <c r="N244" s="10"/>
      <c r="O244" s="10"/>
      <c r="P244" s="13"/>
      <c r="Q244" s="13"/>
      <c r="R244" s="13"/>
      <c r="S244" s="10" t="s">
        <v>862</v>
      </c>
      <c r="T244" s="18" t="s">
        <v>861</v>
      </c>
      <c r="U244" s="13"/>
      <c r="V244" s="13"/>
      <c r="W244" s="13"/>
      <c r="X244" s="13"/>
      <c r="Y244" s="10"/>
      <c r="Z244" s="13"/>
      <c r="AA244" s="13"/>
      <c r="AB244" s="13"/>
      <c r="AC244" s="13"/>
      <c r="AD244" s="13"/>
    </row>
    <row r="245" spans="1:30" ht="10.5" customHeight="1" x14ac:dyDescent="0.25">
      <c r="A245" s="9"/>
      <c r="B245" s="13"/>
      <c r="C245" s="13"/>
      <c r="D245" s="13"/>
      <c r="E245" s="13"/>
      <c r="F245" s="13"/>
      <c r="G245" s="13"/>
      <c r="H245" s="13"/>
      <c r="I245" s="13"/>
      <c r="J245" s="13"/>
      <c r="K245" s="13"/>
      <c r="L245" s="13"/>
      <c r="M245" s="13"/>
      <c r="N245" s="10"/>
      <c r="O245" s="10"/>
      <c r="P245" s="13"/>
      <c r="Q245" s="13"/>
      <c r="R245" s="13"/>
      <c r="S245" s="10" t="s">
        <v>864</v>
      </c>
      <c r="T245" s="18" t="s">
        <v>863</v>
      </c>
      <c r="U245" s="13"/>
      <c r="V245" s="13"/>
      <c r="W245" s="13"/>
      <c r="X245" s="13"/>
      <c r="Y245" s="10"/>
      <c r="Z245" s="13"/>
      <c r="AA245" s="13"/>
      <c r="AB245" s="13"/>
      <c r="AC245" s="13"/>
      <c r="AD245" s="13"/>
    </row>
    <row r="246" spans="1:30" ht="10.5" customHeight="1" x14ac:dyDescent="0.25">
      <c r="A246" s="9"/>
      <c r="B246" s="13"/>
      <c r="C246" s="13"/>
      <c r="D246" s="13"/>
      <c r="E246" s="13"/>
      <c r="F246" s="13"/>
      <c r="G246" s="13"/>
      <c r="H246" s="13"/>
      <c r="I246" s="13"/>
      <c r="J246" s="13"/>
      <c r="K246" s="13"/>
      <c r="L246" s="13"/>
      <c r="M246" s="13"/>
      <c r="N246" s="10"/>
      <c r="O246" s="10"/>
      <c r="P246" s="13"/>
      <c r="Q246" s="13"/>
      <c r="R246" s="13"/>
      <c r="S246" s="10" t="s">
        <v>866</v>
      </c>
      <c r="T246" s="18" t="s">
        <v>865</v>
      </c>
      <c r="U246" s="13"/>
      <c r="V246" s="13"/>
      <c r="W246" s="13"/>
      <c r="X246" s="13"/>
      <c r="Y246" s="10"/>
      <c r="Z246" s="13"/>
      <c r="AA246" s="13"/>
      <c r="AB246" s="13"/>
      <c r="AC246" s="13"/>
      <c r="AD246" s="13"/>
    </row>
    <row r="247" spans="1:30" ht="10.5" customHeight="1" x14ac:dyDescent="0.25">
      <c r="A247" s="9"/>
      <c r="B247" s="13"/>
      <c r="C247" s="13"/>
      <c r="D247" s="13"/>
      <c r="E247" s="13"/>
      <c r="F247" s="13"/>
      <c r="G247" s="13"/>
      <c r="H247" s="13"/>
      <c r="I247" s="13"/>
      <c r="J247" s="13"/>
      <c r="K247" s="13"/>
      <c r="L247" s="13"/>
      <c r="M247" s="13"/>
      <c r="N247" s="10"/>
      <c r="O247" s="10"/>
      <c r="P247" s="13"/>
      <c r="Q247" s="13"/>
      <c r="R247" s="13"/>
      <c r="S247" s="10" t="s">
        <v>868</v>
      </c>
      <c r="T247" s="18" t="s">
        <v>867</v>
      </c>
      <c r="U247" s="13"/>
      <c r="V247" s="13"/>
      <c r="W247" s="13"/>
      <c r="X247" s="13"/>
      <c r="Y247" s="10"/>
      <c r="Z247" s="13"/>
      <c r="AA247" s="13"/>
      <c r="AB247" s="13"/>
      <c r="AC247" s="13"/>
      <c r="AD247" s="13"/>
    </row>
    <row r="248" spans="1:30" ht="10.5" customHeight="1" x14ac:dyDescent="0.25">
      <c r="A248" s="9"/>
      <c r="B248" s="13"/>
      <c r="C248" s="13"/>
      <c r="D248" s="13"/>
      <c r="E248" s="13"/>
      <c r="F248" s="13"/>
      <c r="G248" s="13"/>
      <c r="H248" s="13"/>
      <c r="I248" s="13"/>
      <c r="J248" s="13"/>
      <c r="K248" s="13"/>
      <c r="L248" s="13"/>
      <c r="M248" s="13"/>
      <c r="N248" s="10"/>
      <c r="O248" s="10"/>
      <c r="P248" s="13"/>
      <c r="Q248" s="13"/>
      <c r="R248" s="13"/>
      <c r="S248" s="10" t="s">
        <v>872</v>
      </c>
      <c r="T248" s="18" t="s">
        <v>871</v>
      </c>
      <c r="U248" s="13"/>
      <c r="V248" s="13"/>
      <c r="W248" s="13"/>
      <c r="X248" s="13"/>
      <c r="Y248" s="10"/>
      <c r="Z248" s="13"/>
      <c r="AA248" s="13"/>
      <c r="AB248" s="13"/>
      <c r="AC248" s="13"/>
      <c r="AD248" s="13"/>
    </row>
    <row r="249" spans="1:30" ht="10.5" customHeight="1" x14ac:dyDescent="0.25">
      <c r="A249" s="9"/>
      <c r="B249" s="13"/>
      <c r="C249" s="13"/>
      <c r="D249" s="13"/>
      <c r="E249" s="13"/>
      <c r="F249" s="13"/>
      <c r="G249" s="13"/>
      <c r="H249" s="13"/>
      <c r="I249" s="13"/>
      <c r="J249" s="13"/>
      <c r="K249" s="13"/>
      <c r="L249" s="13"/>
      <c r="M249" s="13"/>
      <c r="N249" s="10"/>
      <c r="O249" s="10"/>
      <c r="P249" s="13"/>
      <c r="Q249" s="13"/>
      <c r="R249" s="13"/>
      <c r="S249" s="10" t="s">
        <v>874</v>
      </c>
      <c r="T249" s="18" t="s">
        <v>873</v>
      </c>
      <c r="U249" s="13"/>
      <c r="V249" s="13"/>
      <c r="W249" s="13"/>
      <c r="X249" s="13"/>
      <c r="Y249" s="10"/>
      <c r="Z249" s="13"/>
      <c r="AA249" s="13"/>
      <c r="AB249" s="13"/>
      <c r="AC249" s="13"/>
      <c r="AD249" s="13"/>
    </row>
    <row r="250" spans="1:30" ht="10.5" customHeight="1" x14ac:dyDescent="0.25">
      <c r="A250" s="9"/>
      <c r="B250" s="13"/>
      <c r="C250" s="13"/>
      <c r="D250" s="13"/>
      <c r="E250" s="13"/>
      <c r="F250" s="13"/>
      <c r="G250" s="13"/>
      <c r="H250" s="33"/>
      <c r="I250" s="13"/>
      <c r="J250" s="13"/>
      <c r="K250" s="13"/>
      <c r="L250" s="13"/>
      <c r="M250" s="13"/>
      <c r="N250" s="10"/>
      <c r="O250" s="10"/>
      <c r="P250" s="13"/>
      <c r="Q250" s="13"/>
      <c r="R250" s="13"/>
      <c r="S250" s="13"/>
      <c r="T250" s="13"/>
      <c r="U250" s="13"/>
      <c r="V250" s="13"/>
      <c r="W250" s="13"/>
      <c r="X250" s="13"/>
      <c r="Y250" s="10"/>
      <c r="Z250" s="13"/>
      <c r="AA250" s="13"/>
      <c r="AB250" s="13"/>
      <c r="AC250" s="13"/>
      <c r="AD250" s="13"/>
    </row>
    <row r="251" spans="1:30" x14ac:dyDescent="0.25">
      <c r="P251" s="13"/>
      <c r="Q251" s="13"/>
      <c r="T251" s="6"/>
      <c r="W251" s="13"/>
      <c r="X251" s="13"/>
    </row>
  </sheetData>
  <autoFilter ref="A1:AD252"/>
  <sortState ref="R24:R38">
    <sortCondition ref="R24:R38"/>
  </sortState>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pageSetUpPr autoPageBreaks="0"/>
  </sheetPr>
  <dimension ref="A1:J26"/>
  <sheetViews>
    <sheetView showRowColHeaders="0" workbookViewId="0">
      <pane ySplit="1" topLeftCell="A2" activePane="bottomLeft" state="frozen"/>
      <selection activeCell="C9" sqref="C9:C10"/>
      <selection pane="bottomLeft" activeCell="E2" sqref="E2:H2"/>
    </sheetView>
  </sheetViews>
  <sheetFormatPr defaultColWidth="0" defaultRowHeight="10.5" customHeight="1" zeroHeight="1" x14ac:dyDescent="0.25"/>
  <cols>
    <col min="1" max="2" width="15.6640625" customWidth="1"/>
    <col min="3" max="3" width="30.6640625" customWidth="1"/>
    <col min="4" max="4" width="8.33203125" hidden="1" customWidth="1"/>
    <col min="5" max="5" width="60.6640625" customWidth="1"/>
    <col min="6" max="6" width="20.6640625" customWidth="1"/>
    <col min="7" max="8" width="40.6640625" customWidth="1"/>
    <col min="9" max="10" width="5.6640625" hidden="1" customWidth="1"/>
    <col min="11" max="16384" width="9.109375" hidden="1"/>
  </cols>
  <sheetData>
    <row r="1" spans="1:10" ht="10.5" customHeight="1" x14ac:dyDescent="0.25">
      <c r="A1" s="40" t="s">
        <v>1380</v>
      </c>
      <c r="B1" s="128" t="s">
        <v>1381</v>
      </c>
      <c r="C1" s="40" t="s">
        <v>917</v>
      </c>
      <c r="D1" s="128" t="s">
        <v>1383</v>
      </c>
      <c r="E1" s="30" t="s">
        <v>1205</v>
      </c>
      <c r="F1" s="1" t="s">
        <v>1</v>
      </c>
      <c r="G1" s="250" t="s">
        <v>1462</v>
      </c>
      <c r="H1" s="250" t="s">
        <v>1463</v>
      </c>
      <c r="I1" s="26" t="s">
        <v>9</v>
      </c>
      <c r="J1" s="26" t="s">
        <v>10</v>
      </c>
    </row>
    <row r="2" spans="1:10" ht="10.5" customHeight="1" x14ac:dyDescent="0.25">
      <c r="A2" s="56" t="str">
        <f t="shared" ref="A2:A26" si="0">IF(SUMPRODUCT(ISBLANK($E2:$H2)*1)&lt;4,"spe_sponsor","")</f>
        <v/>
      </c>
      <c r="B2" s="236" t="str">
        <f>IF(SUMPRODUCT(ISBLANK($E2:$H2)*1)&lt;4,spe_db_register!$D$6,"")</f>
        <v/>
      </c>
      <c r="C2" s="41" t="str">
        <f>IF(SUMPRODUCT(ISBLANK($E2:$H2)*1)&lt;4,spe_db_register!$D$9,"")</f>
        <v/>
      </c>
      <c r="D2" s="237" t="str">
        <f t="shared" ref="D2:D26" si="1">IFERROR(IF(SUMPRODUCT(ISBLANK($E2:$H2)*1)&lt;4,1/SUMPRODUCT(((ISNONTEXT($E$2:$E$26)*1)=0)*1),""),0)</f>
        <v/>
      </c>
      <c r="E2" s="247"/>
      <c r="F2" s="249"/>
      <c r="G2" s="42"/>
      <c r="H2" s="42"/>
      <c r="I2" s="51" t="str">
        <f t="shared" ref="I2:I26" si="2">IF(SUMPRODUCT(ISBLANK($E2:$H2)*1)&lt;4,FALSE,"")</f>
        <v/>
      </c>
      <c r="J2" s="51" t="str">
        <f t="shared" ref="J2:J26" si="3">IF(SUMPRODUCT(ISBLANK($E2:$H2)*1)&lt;4,FALSE,"")</f>
        <v/>
      </c>
    </row>
    <row r="3" spans="1:10" ht="10.5" customHeight="1" x14ac:dyDescent="0.25">
      <c r="A3" s="56" t="str">
        <f t="shared" si="0"/>
        <v/>
      </c>
      <c r="B3" s="236" t="str">
        <f>IF(SUMPRODUCT(ISBLANK($E3:$H3)*1)&lt;4,spe_db_register!$D$6,"")</f>
        <v/>
      </c>
      <c r="C3" s="41" t="str">
        <f>IF(SUMPRODUCT(ISBLANK($E3:$H3)*1)&lt;4,spe_db_register!$D$9,"")</f>
        <v/>
      </c>
      <c r="D3" s="237" t="str">
        <f t="shared" si="1"/>
        <v/>
      </c>
      <c r="E3" s="247"/>
      <c r="F3" s="249"/>
      <c r="G3" s="42"/>
      <c r="H3" s="42"/>
      <c r="I3" s="51" t="str">
        <f t="shared" si="2"/>
        <v/>
      </c>
      <c r="J3" s="51" t="str">
        <f t="shared" si="3"/>
        <v/>
      </c>
    </row>
    <row r="4" spans="1:10" ht="10.5" customHeight="1" x14ac:dyDescent="0.25">
      <c r="A4" s="56" t="str">
        <f t="shared" si="0"/>
        <v/>
      </c>
      <c r="B4" s="236" t="str">
        <f>IF(SUMPRODUCT(ISBLANK($E4:$H4)*1)&lt;4,spe_db_register!$D$6,"")</f>
        <v/>
      </c>
      <c r="C4" s="41" t="str">
        <f>IF(SUMPRODUCT(ISBLANK($E4:$H4)*1)&lt;4,spe_db_register!$D$9,"")</f>
        <v/>
      </c>
      <c r="D4" s="237" t="str">
        <f t="shared" si="1"/>
        <v/>
      </c>
      <c r="E4" s="247"/>
      <c r="F4" s="249"/>
      <c r="G4" s="42"/>
      <c r="H4" s="42"/>
      <c r="I4" s="51" t="str">
        <f t="shared" si="2"/>
        <v/>
      </c>
      <c r="J4" s="51" t="str">
        <f t="shared" si="3"/>
        <v/>
      </c>
    </row>
    <row r="5" spans="1:10" ht="10.5" customHeight="1" x14ac:dyDescent="0.25">
      <c r="A5" s="56" t="str">
        <f t="shared" si="0"/>
        <v/>
      </c>
      <c r="B5" s="236" t="str">
        <f>IF(SUMPRODUCT(ISBLANK($E5:$H5)*1)&lt;4,spe_db_register!$D$6,"")</f>
        <v/>
      </c>
      <c r="C5" s="41" t="str">
        <f>IF(SUMPRODUCT(ISBLANK($E5:$H5)*1)&lt;4,spe_db_register!$D$9,"")</f>
        <v/>
      </c>
      <c r="D5" s="237" t="str">
        <f t="shared" si="1"/>
        <v/>
      </c>
      <c r="E5" s="248"/>
      <c r="F5" s="249"/>
      <c r="G5" s="42"/>
      <c r="H5" s="42"/>
      <c r="I5" s="51" t="str">
        <f t="shared" si="2"/>
        <v/>
      </c>
      <c r="J5" s="51" t="str">
        <f t="shared" si="3"/>
        <v/>
      </c>
    </row>
    <row r="6" spans="1:10" ht="10.5" customHeight="1" x14ac:dyDescent="0.25">
      <c r="A6" s="56" t="str">
        <f t="shared" si="0"/>
        <v/>
      </c>
      <c r="B6" s="236" t="str">
        <f>IF(SUMPRODUCT(ISBLANK($E6:$H6)*1)&lt;4,spe_db_register!$D$6,"")</f>
        <v/>
      </c>
      <c r="C6" s="41" t="str">
        <f>IF(SUMPRODUCT(ISBLANK($E6:$H6)*1)&lt;4,spe_db_register!$D$9,"")</f>
        <v/>
      </c>
      <c r="D6" s="237" t="str">
        <f t="shared" si="1"/>
        <v/>
      </c>
      <c r="E6" s="247"/>
      <c r="F6" s="249"/>
      <c r="G6" s="42"/>
      <c r="H6" s="42"/>
      <c r="I6" s="51" t="str">
        <f t="shared" si="2"/>
        <v/>
      </c>
      <c r="J6" s="51" t="str">
        <f t="shared" si="3"/>
        <v/>
      </c>
    </row>
    <row r="7" spans="1:10" ht="10.5" customHeight="1" x14ac:dyDescent="0.25">
      <c r="A7" s="56" t="str">
        <f t="shared" si="0"/>
        <v/>
      </c>
      <c r="B7" s="236" t="str">
        <f>IF(SUMPRODUCT(ISBLANK($E7:$H7)*1)&lt;4,spe_db_register!$D$6,"")</f>
        <v/>
      </c>
      <c r="C7" s="41" t="str">
        <f>IF(SUMPRODUCT(ISBLANK($E7:$H7)*1)&lt;4,spe_db_register!$D$9,"")</f>
        <v/>
      </c>
      <c r="D7" s="237" t="str">
        <f t="shared" si="1"/>
        <v/>
      </c>
      <c r="E7" s="247"/>
      <c r="F7" s="249"/>
      <c r="G7" s="42"/>
      <c r="H7" s="42"/>
      <c r="I7" s="51" t="str">
        <f t="shared" si="2"/>
        <v/>
      </c>
      <c r="J7" s="51" t="str">
        <f t="shared" si="3"/>
        <v/>
      </c>
    </row>
    <row r="8" spans="1:10" ht="10.5" customHeight="1" x14ac:dyDescent="0.25">
      <c r="A8" s="56" t="str">
        <f t="shared" si="0"/>
        <v/>
      </c>
      <c r="B8" s="236" t="str">
        <f>IF(SUMPRODUCT(ISBLANK($E8:$H8)*1)&lt;4,spe_db_register!$D$6,"")</f>
        <v/>
      </c>
      <c r="C8" s="41" t="str">
        <f>IF(SUMPRODUCT(ISBLANK($E8:$H8)*1)&lt;4,spe_db_register!$D$9,"")</f>
        <v/>
      </c>
      <c r="D8" s="237" t="str">
        <f t="shared" si="1"/>
        <v/>
      </c>
      <c r="E8" s="247"/>
      <c r="F8" s="249"/>
      <c r="G8" s="42"/>
      <c r="H8" s="42"/>
      <c r="I8" s="51" t="str">
        <f t="shared" si="2"/>
        <v/>
      </c>
      <c r="J8" s="51" t="str">
        <f t="shared" si="3"/>
        <v/>
      </c>
    </row>
    <row r="9" spans="1:10" ht="10.5" customHeight="1" x14ac:dyDescent="0.25">
      <c r="A9" s="56" t="str">
        <f t="shared" si="0"/>
        <v/>
      </c>
      <c r="B9" s="236" t="str">
        <f>IF(SUMPRODUCT(ISBLANK($E9:$H9)*1)&lt;4,spe_db_register!$D$6,"")</f>
        <v/>
      </c>
      <c r="C9" s="41" t="str">
        <f>IF(SUMPRODUCT(ISBLANK($E9:$H9)*1)&lt;4,spe_db_register!$D$9,"")</f>
        <v/>
      </c>
      <c r="D9" s="237" t="str">
        <f t="shared" si="1"/>
        <v/>
      </c>
      <c r="E9" s="247"/>
      <c r="F9" s="249"/>
      <c r="G9" s="42"/>
      <c r="H9" s="42"/>
      <c r="I9" s="51" t="str">
        <f t="shared" si="2"/>
        <v/>
      </c>
      <c r="J9" s="51" t="str">
        <f t="shared" si="3"/>
        <v/>
      </c>
    </row>
    <row r="10" spans="1:10" ht="10.5" customHeight="1" x14ac:dyDescent="0.25">
      <c r="A10" s="56" t="str">
        <f t="shared" si="0"/>
        <v/>
      </c>
      <c r="B10" s="236" t="str">
        <f>IF(SUMPRODUCT(ISBLANK($E10:$H10)*1)&lt;4,spe_db_register!$D$6,"")</f>
        <v/>
      </c>
      <c r="C10" s="41" t="str">
        <f>IF(SUMPRODUCT(ISBLANK($E10:$H10)*1)&lt;4,spe_db_register!$D$9,"")</f>
        <v/>
      </c>
      <c r="D10" s="237" t="str">
        <f t="shared" si="1"/>
        <v/>
      </c>
      <c r="E10" s="247"/>
      <c r="F10" s="249"/>
      <c r="G10" s="42"/>
      <c r="H10" s="42"/>
      <c r="I10" s="51" t="str">
        <f t="shared" si="2"/>
        <v/>
      </c>
      <c r="J10" s="51" t="str">
        <f t="shared" si="3"/>
        <v/>
      </c>
    </row>
    <row r="11" spans="1:10" ht="10.5" customHeight="1" x14ac:dyDescent="0.25">
      <c r="A11" s="56" t="str">
        <f t="shared" si="0"/>
        <v/>
      </c>
      <c r="B11" s="236" t="str">
        <f>IF(SUMPRODUCT(ISBLANK($E11:$H11)*1)&lt;4,spe_db_register!$D$6,"")</f>
        <v/>
      </c>
      <c r="C11" s="41" t="str">
        <f>IF(SUMPRODUCT(ISBLANK($E11:$H11)*1)&lt;4,spe_db_register!$D$9,"")</f>
        <v/>
      </c>
      <c r="D11" s="237" t="str">
        <f t="shared" si="1"/>
        <v/>
      </c>
      <c r="E11" s="247"/>
      <c r="F11" s="249"/>
      <c r="G11" s="42"/>
      <c r="H11" s="42"/>
      <c r="I11" s="51" t="str">
        <f t="shared" si="2"/>
        <v/>
      </c>
      <c r="J11" s="51" t="str">
        <f t="shared" si="3"/>
        <v/>
      </c>
    </row>
    <row r="12" spans="1:10" ht="10.5" customHeight="1" x14ac:dyDescent="0.25">
      <c r="A12" s="56" t="str">
        <f t="shared" si="0"/>
        <v/>
      </c>
      <c r="B12" s="236" t="str">
        <f>IF(SUMPRODUCT(ISBLANK($E12:$H12)*1)&lt;4,spe_db_register!$D$6,"")</f>
        <v/>
      </c>
      <c r="C12" s="41" t="str">
        <f>IF(SUMPRODUCT(ISBLANK($E12:$H12)*1)&lt;4,spe_db_register!$D$9,"")</f>
        <v/>
      </c>
      <c r="D12" s="237" t="str">
        <f t="shared" si="1"/>
        <v/>
      </c>
      <c r="E12" s="247"/>
      <c r="F12" s="249"/>
      <c r="G12" s="42"/>
      <c r="H12" s="42"/>
      <c r="I12" s="51" t="str">
        <f t="shared" si="2"/>
        <v/>
      </c>
      <c r="J12" s="51" t="str">
        <f t="shared" si="3"/>
        <v/>
      </c>
    </row>
    <row r="13" spans="1:10" ht="10.5" customHeight="1" x14ac:dyDescent="0.25">
      <c r="A13" s="56" t="str">
        <f t="shared" si="0"/>
        <v/>
      </c>
      <c r="B13" s="236" t="str">
        <f>IF(SUMPRODUCT(ISBLANK($E13:$H13)*1)&lt;4,spe_db_register!$D$6,"")</f>
        <v/>
      </c>
      <c r="C13" s="41" t="str">
        <f>IF(SUMPRODUCT(ISBLANK($E13:$H13)*1)&lt;4,spe_db_register!$D$9,"")</f>
        <v/>
      </c>
      <c r="D13" s="237" t="str">
        <f t="shared" si="1"/>
        <v/>
      </c>
      <c r="E13" s="247"/>
      <c r="F13" s="249"/>
      <c r="G13" s="42"/>
      <c r="H13" s="42"/>
      <c r="I13" s="51" t="str">
        <f t="shared" si="2"/>
        <v/>
      </c>
      <c r="J13" s="51" t="str">
        <f t="shared" si="3"/>
        <v/>
      </c>
    </row>
    <row r="14" spans="1:10" ht="10.5" customHeight="1" x14ac:dyDescent="0.25">
      <c r="A14" s="56" t="str">
        <f t="shared" si="0"/>
        <v/>
      </c>
      <c r="B14" s="236" t="str">
        <f>IF(SUMPRODUCT(ISBLANK($E14:$H14)*1)&lt;4,spe_db_register!$D$6,"")</f>
        <v/>
      </c>
      <c r="C14" s="41" t="str">
        <f>IF(SUMPRODUCT(ISBLANK($E14:$H14)*1)&lt;4,spe_db_register!$D$9,"")</f>
        <v/>
      </c>
      <c r="D14" s="237" t="str">
        <f t="shared" si="1"/>
        <v/>
      </c>
      <c r="E14" s="247"/>
      <c r="F14" s="249"/>
      <c r="G14" s="42"/>
      <c r="H14" s="42"/>
      <c r="I14" s="51" t="str">
        <f t="shared" si="2"/>
        <v/>
      </c>
      <c r="J14" s="51" t="str">
        <f t="shared" si="3"/>
        <v/>
      </c>
    </row>
    <row r="15" spans="1:10" ht="10.5" customHeight="1" x14ac:dyDescent="0.25">
      <c r="A15" s="56" t="str">
        <f t="shared" si="0"/>
        <v/>
      </c>
      <c r="B15" s="236" t="str">
        <f>IF(SUMPRODUCT(ISBLANK($E15:$H15)*1)&lt;4,spe_db_register!$D$6,"")</f>
        <v/>
      </c>
      <c r="C15" s="41" t="str">
        <f>IF(SUMPRODUCT(ISBLANK($E15:$H15)*1)&lt;4,spe_db_register!$D$9,"")</f>
        <v/>
      </c>
      <c r="D15" s="237" t="str">
        <f t="shared" si="1"/>
        <v/>
      </c>
      <c r="E15" s="247"/>
      <c r="F15" s="249"/>
      <c r="G15" s="42"/>
      <c r="H15" s="42"/>
      <c r="I15" s="51" t="str">
        <f t="shared" si="2"/>
        <v/>
      </c>
      <c r="J15" s="51" t="str">
        <f t="shared" si="3"/>
        <v/>
      </c>
    </row>
    <row r="16" spans="1:10" ht="10.5" customHeight="1" x14ac:dyDescent="0.25">
      <c r="A16" s="56" t="str">
        <f t="shared" si="0"/>
        <v/>
      </c>
      <c r="B16" s="236" t="str">
        <f>IF(SUMPRODUCT(ISBLANK($E16:$H16)*1)&lt;4,spe_db_register!$D$6,"")</f>
        <v/>
      </c>
      <c r="C16" s="41" t="str">
        <f>IF(SUMPRODUCT(ISBLANK($E16:$H16)*1)&lt;4,spe_db_register!$D$9,"")</f>
        <v/>
      </c>
      <c r="D16" s="237" t="str">
        <f t="shared" si="1"/>
        <v/>
      </c>
      <c r="E16" s="247"/>
      <c r="F16" s="249"/>
      <c r="G16" s="42"/>
      <c r="H16" s="42"/>
      <c r="I16" s="51" t="str">
        <f t="shared" si="2"/>
        <v/>
      </c>
      <c r="J16" s="51" t="str">
        <f t="shared" si="3"/>
        <v/>
      </c>
    </row>
    <row r="17" spans="1:10" ht="10.5" customHeight="1" x14ac:dyDescent="0.25">
      <c r="A17" s="56" t="str">
        <f t="shared" si="0"/>
        <v/>
      </c>
      <c r="B17" s="236" t="str">
        <f>IF(SUMPRODUCT(ISBLANK($E17:$H17)*1)&lt;4,spe_db_register!$D$6,"")</f>
        <v/>
      </c>
      <c r="C17" s="41" t="str">
        <f>IF(SUMPRODUCT(ISBLANK($E17:$H17)*1)&lt;4,spe_db_register!$D$9,"")</f>
        <v/>
      </c>
      <c r="D17" s="237" t="str">
        <f t="shared" si="1"/>
        <v/>
      </c>
      <c r="E17" s="247"/>
      <c r="F17" s="249"/>
      <c r="G17" s="42"/>
      <c r="H17" s="42"/>
      <c r="I17" s="51" t="str">
        <f t="shared" si="2"/>
        <v/>
      </c>
      <c r="J17" s="51" t="str">
        <f t="shared" si="3"/>
        <v/>
      </c>
    </row>
    <row r="18" spans="1:10" ht="10.5" customHeight="1" x14ac:dyDescent="0.25">
      <c r="A18" s="56" t="str">
        <f t="shared" si="0"/>
        <v/>
      </c>
      <c r="B18" s="236" t="str">
        <f>IF(SUMPRODUCT(ISBLANK($E18:$H18)*1)&lt;4,spe_db_register!$D$6,"")</f>
        <v/>
      </c>
      <c r="C18" s="41" t="str">
        <f>IF(SUMPRODUCT(ISBLANK($E18:$H18)*1)&lt;4,spe_db_register!$D$9,"")</f>
        <v/>
      </c>
      <c r="D18" s="237" t="str">
        <f t="shared" si="1"/>
        <v/>
      </c>
      <c r="E18" s="247"/>
      <c r="F18" s="249"/>
      <c r="G18" s="42"/>
      <c r="H18" s="42"/>
      <c r="I18" s="51" t="str">
        <f t="shared" si="2"/>
        <v/>
      </c>
      <c r="J18" s="51" t="str">
        <f t="shared" si="3"/>
        <v/>
      </c>
    </row>
    <row r="19" spans="1:10" ht="10.5" customHeight="1" x14ac:dyDescent="0.25">
      <c r="A19" s="56" t="str">
        <f t="shared" si="0"/>
        <v/>
      </c>
      <c r="B19" s="236" t="str">
        <f>IF(SUMPRODUCT(ISBLANK($E19:$H19)*1)&lt;4,spe_db_register!$D$6,"")</f>
        <v/>
      </c>
      <c r="C19" s="41" t="str">
        <f>IF(SUMPRODUCT(ISBLANK($E19:$H19)*1)&lt;4,spe_db_register!$D$9,"")</f>
        <v/>
      </c>
      <c r="D19" s="237" t="str">
        <f t="shared" si="1"/>
        <v/>
      </c>
      <c r="E19" s="247"/>
      <c r="F19" s="249"/>
      <c r="G19" s="42"/>
      <c r="H19" s="42"/>
      <c r="I19" s="51" t="str">
        <f t="shared" si="2"/>
        <v/>
      </c>
      <c r="J19" s="51" t="str">
        <f t="shared" si="3"/>
        <v/>
      </c>
    </row>
    <row r="20" spans="1:10" ht="10.5" customHeight="1" x14ac:dyDescent="0.25">
      <c r="A20" s="56" t="str">
        <f t="shared" si="0"/>
        <v/>
      </c>
      <c r="B20" s="236" t="str">
        <f>IF(SUMPRODUCT(ISBLANK($E20:$H20)*1)&lt;4,spe_db_register!$D$6,"")</f>
        <v/>
      </c>
      <c r="C20" s="41" t="str">
        <f>IF(SUMPRODUCT(ISBLANK($E20:$H20)*1)&lt;4,spe_db_register!$D$9,"")</f>
        <v/>
      </c>
      <c r="D20" s="237" t="str">
        <f t="shared" si="1"/>
        <v/>
      </c>
      <c r="E20" s="247"/>
      <c r="F20" s="249"/>
      <c r="G20" s="42"/>
      <c r="H20" s="42"/>
      <c r="I20" s="51" t="str">
        <f t="shared" si="2"/>
        <v/>
      </c>
      <c r="J20" s="51" t="str">
        <f t="shared" si="3"/>
        <v/>
      </c>
    </row>
    <row r="21" spans="1:10" ht="10.5" customHeight="1" x14ac:dyDescent="0.25">
      <c r="A21" s="56" t="str">
        <f t="shared" si="0"/>
        <v/>
      </c>
      <c r="B21" s="236" t="str">
        <f>IF(SUMPRODUCT(ISBLANK($E21:$H21)*1)&lt;4,spe_db_register!$D$6,"")</f>
        <v/>
      </c>
      <c r="C21" s="41" t="str">
        <f>IF(SUMPRODUCT(ISBLANK($E21:$H21)*1)&lt;4,spe_db_register!$D$9,"")</f>
        <v/>
      </c>
      <c r="D21" s="237" t="str">
        <f t="shared" si="1"/>
        <v/>
      </c>
      <c r="E21" s="247"/>
      <c r="F21" s="249"/>
      <c r="G21" s="42"/>
      <c r="H21" s="42"/>
      <c r="I21" s="51" t="str">
        <f t="shared" si="2"/>
        <v/>
      </c>
      <c r="J21" s="51" t="str">
        <f t="shared" si="3"/>
        <v/>
      </c>
    </row>
    <row r="22" spans="1:10" ht="10.5" customHeight="1" x14ac:dyDescent="0.25">
      <c r="A22" s="56" t="str">
        <f t="shared" si="0"/>
        <v/>
      </c>
      <c r="B22" s="236" t="str">
        <f>IF(SUMPRODUCT(ISBLANK($E22:$H22)*1)&lt;4,spe_db_register!$D$6,"")</f>
        <v/>
      </c>
      <c r="C22" s="41" t="str">
        <f>IF(SUMPRODUCT(ISBLANK($E22:$H22)*1)&lt;4,spe_db_register!$D$9,"")</f>
        <v/>
      </c>
      <c r="D22" s="237" t="str">
        <f t="shared" si="1"/>
        <v/>
      </c>
      <c r="E22" s="247"/>
      <c r="F22" s="249"/>
      <c r="G22" s="42"/>
      <c r="H22" s="42"/>
      <c r="I22" s="51" t="str">
        <f t="shared" si="2"/>
        <v/>
      </c>
      <c r="J22" s="51" t="str">
        <f t="shared" si="3"/>
        <v/>
      </c>
    </row>
    <row r="23" spans="1:10" ht="10.5" customHeight="1" x14ac:dyDescent="0.25">
      <c r="A23" s="56" t="str">
        <f t="shared" si="0"/>
        <v/>
      </c>
      <c r="B23" s="236" t="str">
        <f>IF(SUMPRODUCT(ISBLANK($E23:$H23)*1)&lt;4,spe_db_register!$D$6,"")</f>
        <v/>
      </c>
      <c r="C23" s="41" t="str">
        <f>IF(SUMPRODUCT(ISBLANK($E23:$H23)*1)&lt;4,spe_db_register!$D$9,"")</f>
        <v/>
      </c>
      <c r="D23" s="237" t="str">
        <f t="shared" si="1"/>
        <v/>
      </c>
      <c r="E23" s="247"/>
      <c r="F23" s="249"/>
      <c r="G23" s="42"/>
      <c r="H23" s="42"/>
      <c r="I23" s="51" t="str">
        <f t="shared" si="2"/>
        <v/>
      </c>
      <c r="J23" s="51" t="str">
        <f t="shared" si="3"/>
        <v/>
      </c>
    </row>
    <row r="24" spans="1:10" ht="10.5" customHeight="1" x14ac:dyDescent="0.25">
      <c r="A24" s="56" t="str">
        <f t="shared" si="0"/>
        <v/>
      </c>
      <c r="B24" s="236" t="str">
        <f>IF(SUMPRODUCT(ISBLANK($E24:$H24)*1)&lt;4,spe_db_register!$D$6,"")</f>
        <v/>
      </c>
      <c r="C24" s="41" t="str">
        <f>IF(SUMPRODUCT(ISBLANK($E24:$H24)*1)&lt;4,spe_db_register!$D$9,"")</f>
        <v/>
      </c>
      <c r="D24" s="237" t="str">
        <f t="shared" si="1"/>
        <v/>
      </c>
      <c r="E24" s="247"/>
      <c r="F24" s="249"/>
      <c r="G24" s="42"/>
      <c r="H24" s="42"/>
      <c r="I24" s="51" t="str">
        <f t="shared" si="2"/>
        <v/>
      </c>
      <c r="J24" s="51" t="str">
        <f t="shared" si="3"/>
        <v/>
      </c>
    </row>
    <row r="25" spans="1:10" ht="10.5" customHeight="1" x14ac:dyDescent="0.25">
      <c r="A25" s="56" t="str">
        <f t="shared" si="0"/>
        <v/>
      </c>
      <c r="B25" s="236" t="str">
        <f>IF(SUMPRODUCT(ISBLANK($E25:$H25)*1)&lt;4,spe_db_register!$D$6,"")</f>
        <v/>
      </c>
      <c r="C25" s="41" t="str">
        <f>IF(SUMPRODUCT(ISBLANK($E25:$H25)*1)&lt;4,spe_db_register!$D$9,"")</f>
        <v/>
      </c>
      <c r="D25" s="237" t="str">
        <f t="shared" si="1"/>
        <v/>
      </c>
      <c r="E25" s="247"/>
      <c r="F25" s="249"/>
      <c r="G25" s="42"/>
      <c r="H25" s="42"/>
      <c r="I25" s="51" t="str">
        <f t="shared" si="2"/>
        <v/>
      </c>
      <c r="J25" s="51" t="str">
        <f t="shared" si="3"/>
        <v/>
      </c>
    </row>
    <row r="26" spans="1:10" ht="10.5" customHeight="1" x14ac:dyDescent="0.25">
      <c r="A26" s="56" t="str">
        <f t="shared" si="0"/>
        <v/>
      </c>
      <c r="B26" s="236" t="str">
        <f>IF(SUMPRODUCT(ISBLANK($E26:$H26)*1)&lt;4,spe_db_register!$D$6,"")</f>
        <v/>
      </c>
      <c r="C26" s="41" t="str">
        <f>IF(SUMPRODUCT(ISBLANK($E26:$H26)*1)&lt;4,spe_db_register!$D$9,"")</f>
        <v/>
      </c>
      <c r="D26" s="237" t="str">
        <f t="shared" si="1"/>
        <v/>
      </c>
      <c r="E26" s="247"/>
      <c r="F26" s="249"/>
      <c r="G26" s="42"/>
      <c r="H26" s="42"/>
      <c r="I26" s="51" t="str">
        <f t="shared" si="2"/>
        <v/>
      </c>
      <c r="J26" s="51" t="str">
        <f t="shared" si="3"/>
        <v/>
      </c>
    </row>
  </sheetData>
  <sheetProtection algorithmName="SHA-512" hashValue="sWNf8MO8TGHuhOkwW/Fn3RfNLdBhZSoOwX7S6d+qcs3euMJa/TRLsxD2H/Asr09iKv2yH8AXixiBxCw2oCBgQA==" saltValue="kd8ecGIfgfHS/cvK9kdKhw==" spinCount="100000" sheet="1" objects="1" scenarios="1"/>
  <dataConsolidate topLabels="1">
    <dataRefs count="1">
      <dataRef ref="A1:I1048576" sheet="spe_sponsor"/>
    </dataRefs>
  </dataConsolidate>
  <dataValidations count="1">
    <dataValidation type="textLength" errorStyle="warning" operator="equal" allowBlank="1" showErrorMessage="1" errorTitle="LEI" error="LEI Code must be 20 characters in length." sqref="F2:F26">
      <formula1>20</formula1>
    </dataValidation>
  </dataValidation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tableParts count="1">
    <tablePart r:id="rId2"/>
  </tableParts>
  <extLst>
    <ext xmlns:x14="http://schemas.microsoft.com/office/spreadsheetml/2009/9/main" uri="{CCE6A557-97BC-4b89-ADB6-D9C93CAAB3DF}">
      <x14:dataValidations xmlns:xm="http://schemas.microsoft.com/office/excel/2006/main" count="2">
        <x14:dataValidation type="list" errorStyle="warning" showErrorMessage="1" errorTitle="Country" error="Select Country from List">
          <x14:formula1>
            <xm:f>lists!$S$2:$S$249</xm:f>
          </x14:formula1>
          <xm:sqref>G2:G26</xm:sqref>
        </x14:dataValidation>
        <x14:dataValidation type="list" errorStyle="warning" allowBlank="1" showInputMessage="1" showErrorMessage="1" errorTitle="Sector" error="Select Sector from List">
          <x14:formula1>
            <xm:f>lists!$U$3:$U$11</xm:f>
          </x14:formula1>
          <xm:sqref>H2:H26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autoPageBreaks="0"/>
  </sheetPr>
  <dimension ref="A1:J26"/>
  <sheetViews>
    <sheetView showGridLines="0" showRowColHeaders="0" workbookViewId="0">
      <pane ySplit="1" topLeftCell="A2" activePane="bottomLeft" state="frozen"/>
      <selection sqref="A1:I26"/>
      <selection pane="bottomLeft" activeCell="H2" sqref="H2"/>
    </sheetView>
  </sheetViews>
  <sheetFormatPr defaultColWidth="0" defaultRowHeight="10.5" customHeight="1" zeroHeight="1" x14ac:dyDescent="0.25"/>
  <cols>
    <col min="1" max="2" width="15.6640625" style="53" customWidth="1"/>
    <col min="3" max="3" width="30.6640625" style="53" customWidth="1"/>
    <col min="4" max="4" width="8.33203125" style="53" hidden="1" customWidth="1"/>
    <col min="5" max="5" width="60.6640625" style="53" customWidth="1"/>
    <col min="6" max="6" width="20.6640625" style="53" customWidth="1"/>
    <col min="7" max="8" width="40.6640625" style="53" customWidth="1"/>
    <col min="9" max="10" width="5.6640625" style="53" hidden="1" customWidth="1"/>
    <col min="11" max="16384" width="9.109375" style="53" hidden="1"/>
  </cols>
  <sheetData>
    <row r="1" spans="1:10" ht="10.5" customHeight="1" x14ac:dyDescent="0.25">
      <c r="A1" s="40" t="s">
        <v>1380</v>
      </c>
      <c r="B1" s="128" t="s">
        <v>1381</v>
      </c>
      <c r="C1" s="40" t="s">
        <v>917</v>
      </c>
      <c r="D1" s="40" t="s">
        <v>1383</v>
      </c>
      <c r="E1" s="31" t="s">
        <v>1205</v>
      </c>
      <c r="F1" s="1" t="s">
        <v>1</v>
      </c>
      <c r="G1" s="250" t="s">
        <v>1464</v>
      </c>
      <c r="H1" s="250" t="s">
        <v>1463</v>
      </c>
      <c r="I1" s="26" t="s">
        <v>9</v>
      </c>
      <c r="J1" s="26" t="s">
        <v>10</v>
      </c>
    </row>
    <row r="2" spans="1:10" ht="10.5" customHeight="1" x14ac:dyDescent="0.25">
      <c r="A2" s="56" t="str">
        <f>IF(SUMPRODUCT(ISBLANK($E2:$H2)*1)&lt;4,"spe_originator","")</f>
        <v/>
      </c>
      <c r="B2" s="129" t="str">
        <f>IF(SUMPRODUCT(ISBLANK($E2:$H2)*1)&lt;4,spe_db_register!$D$6,"")</f>
        <v/>
      </c>
      <c r="C2" s="41" t="str">
        <f>IF(SUMPRODUCT(ISBLANK($E2:$H2)*1)&lt;4,spe_db_register!$D$9,"")</f>
        <v/>
      </c>
      <c r="D2" s="57" t="str">
        <f>IFERROR(IF(SUMPRODUCT(ISBLANK($E2:$H2)*1)&lt;4,1/SUMPRODUCT(((ISNONTEXT($E$2:$E$26)*1)=0)*1),""),0)</f>
        <v/>
      </c>
      <c r="E2" s="247"/>
      <c r="F2" s="249"/>
      <c r="G2" s="42"/>
      <c r="H2" s="42"/>
      <c r="I2" s="51" t="str">
        <f>IF(SUMPRODUCT(ISBLANK($E2:$H2)*1)&lt;4,FALSE,"")</f>
        <v/>
      </c>
      <c r="J2" s="51" t="str">
        <f>IF(SUMPRODUCT(ISBLANK($E2:$H2)*1)&lt;4,FALSE,"")</f>
        <v/>
      </c>
    </row>
    <row r="3" spans="1:10" ht="10.5" customHeight="1" x14ac:dyDescent="0.25">
      <c r="A3" s="56" t="str">
        <f t="shared" ref="A3:A26" si="0">IF(SUMPRODUCT(ISBLANK($E3:$H3)*1)&lt;4,"spe_originator","")</f>
        <v/>
      </c>
      <c r="B3" s="129" t="str">
        <f>IF(SUMPRODUCT(ISBLANK($E3:$H3)*1)&lt;4,spe_db_register!$D$6,"")</f>
        <v/>
      </c>
      <c r="C3" s="41" t="str">
        <f>IF(SUMPRODUCT(ISBLANK($E3:$H3)*1)&lt;4,spe_db_register!$D$9,"")</f>
        <v/>
      </c>
      <c r="D3" s="57" t="str">
        <f t="shared" ref="D3:D26" si="1">IFERROR(IF(SUMPRODUCT(ISBLANK($E3:$H3)*1)&lt;4,1/SUMPRODUCT(((ISNONTEXT($E$2:$E$26)*1)=0)*1),""),0)</f>
        <v/>
      </c>
      <c r="E3" s="249"/>
      <c r="F3" s="249"/>
      <c r="G3" s="42"/>
      <c r="H3" s="42"/>
      <c r="I3" s="51" t="str">
        <f t="shared" ref="I3:J26" si="2">IF(SUMPRODUCT(ISBLANK($E3:$H3)*1)&lt;4,FALSE,"")</f>
        <v/>
      </c>
      <c r="J3" s="51" t="str">
        <f t="shared" si="2"/>
        <v/>
      </c>
    </row>
    <row r="4" spans="1:10" ht="10.5" customHeight="1" x14ac:dyDescent="0.25">
      <c r="A4" s="56" t="str">
        <f t="shared" si="0"/>
        <v/>
      </c>
      <c r="B4" s="129" t="str">
        <f>IF(SUMPRODUCT(ISBLANK($E4:$H4)*1)&lt;4,spe_db_register!$D$6,"")</f>
        <v/>
      </c>
      <c r="C4" s="41" t="str">
        <f>IF(SUMPRODUCT(ISBLANK($E4:$H4)*1)&lt;4,spe_db_register!$D$9,"")</f>
        <v/>
      </c>
      <c r="D4" s="57" t="str">
        <f t="shared" si="1"/>
        <v/>
      </c>
      <c r="E4" s="249"/>
      <c r="F4" s="249"/>
      <c r="G4" s="42"/>
      <c r="H4" s="42"/>
      <c r="I4" s="51" t="str">
        <f t="shared" si="2"/>
        <v/>
      </c>
      <c r="J4" s="51" t="str">
        <f t="shared" si="2"/>
        <v/>
      </c>
    </row>
    <row r="5" spans="1:10" ht="10.5" customHeight="1" x14ac:dyDescent="0.25">
      <c r="A5" s="56" t="str">
        <f t="shared" si="0"/>
        <v/>
      </c>
      <c r="B5" s="129" t="str">
        <f>IF(SUMPRODUCT(ISBLANK($E5:$H5)*1)&lt;4,spe_db_register!$D$6,"")</f>
        <v/>
      </c>
      <c r="C5" s="41" t="str">
        <f>IF(SUMPRODUCT(ISBLANK($E5:$H5)*1)&lt;4,spe_db_register!$D$9,"")</f>
        <v/>
      </c>
      <c r="D5" s="57" t="str">
        <f t="shared" si="1"/>
        <v/>
      </c>
      <c r="E5" s="249"/>
      <c r="F5" s="249"/>
      <c r="G5" s="42"/>
      <c r="H5" s="42"/>
      <c r="I5" s="51" t="str">
        <f t="shared" si="2"/>
        <v/>
      </c>
      <c r="J5" s="51" t="str">
        <f t="shared" si="2"/>
        <v/>
      </c>
    </row>
    <row r="6" spans="1:10" ht="10.5" customHeight="1" x14ac:dyDescent="0.25">
      <c r="A6" s="56" t="str">
        <f t="shared" si="0"/>
        <v/>
      </c>
      <c r="B6" s="129" t="str">
        <f>IF(SUMPRODUCT(ISBLANK($E6:$H6)*1)&lt;4,spe_db_register!$D$6,"")</f>
        <v/>
      </c>
      <c r="C6" s="41" t="str">
        <f>IF(SUMPRODUCT(ISBLANK($E6:$H6)*1)&lt;4,spe_db_register!$D$9,"")</f>
        <v/>
      </c>
      <c r="D6" s="57" t="str">
        <f t="shared" si="1"/>
        <v/>
      </c>
      <c r="E6" s="249"/>
      <c r="F6" s="249"/>
      <c r="G6" s="42"/>
      <c r="H6" s="42"/>
      <c r="I6" s="51" t="str">
        <f t="shared" si="2"/>
        <v/>
      </c>
      <c r="J6" s="51" t="str">
        <f t="shared" si="2"/>
        <v/>
      </c>
    </row>
    <row r="7" spans="1:10" ht="10.5" customHeight="1" x14ac:dyDescent="0.25">
      <c r="A7" s="56" t="str">
        <f t="shared" si="0"/>
        <v/>
      </c>
      <c r="B7" s="129" t="str">
        <f>IF(SUMPRODUCT(ISBLANK($E7:$H7)*1)&lt;4,spe_db_register!$D$6,"")</f>
        <v/>
      </c>
      <c r="C7" s="41" t="str">
        <f>IF(SUMPRODUCT(ISBLANK($E7:$H7)*1)&lt;4,spe_db_register!$D$9,"")</f>
        <v/>
      </c>
      <c r="D7" s="57" t="str">
        <f t="shared" si="1"/>
        <v/>
      </c>
      <c r="E7" s="249"/>
      <c r="F7" s="249"/>
      <c r="G7" s="42"/>
      <c r="H7" s="42"/>
      <c r="I7" s="51" t="str">
        <f t="shared" si="2"/>
        <v/>
      </c>
      <c r="J7" s="51" t="str">
        <f t="shared" si="2"/>
        <v/>
      </c>
    </row>
    <row r="8" spans="1:10" ht="10.5" customHeight="1" x14ac:dyDescent="0.25">
      <c r="A8" s="56" t="str">
        <f t="shared" si="0"/>
        <v/>
      </c>
      <c r="B8" s="129" t="str">
        <f>IF(SUMPRODUCT(ISBLANK($E8:$H8)*1)&lt;4,spe_db_register!$D$6,"")</f>
        <v/>
      </c>
      <c r="C8" s="41" t="str">
        <f>IF(SUMPRODUCT(ISBLANK($E8:$H8)*1)&lt;4,spe_db_register!$D$9,"")</f>
        <v/>
      </c>
      <c r="D8" s="57" t="str">
        <f t="shared" si="1"/>
        <v/>
      </c>
      <c r="E8" s="249"/>
      <c r="F8" s="249"/>
      <c r="G8" s="42"/>
      <c r="H8" s="42"/>
      <c r="I8" s="51" t="str">
        <f t="shared" si="2"/>
        <v/>
      </c>
      <c r="J8" s="51" t="str">
        <f t="shared" si="2"/>
        <v/>
      </c>
    </row>
    <row r="9" spans="1:10" ht="10.5" customHeight="1" x14ac:dyDescent="0.25">
      <c r="A9" s="56" t="str">
        <f t="shared" si="0"/>
        <v/>
      </c>
      <c r="B9" s="129" t="str">
        <f>IF(SUMPRODUCT(ISBLANK($E9:$H9)*1)&lt;4,spe_db_register!$D$6,"")</f>
        <v/>
      </c>
      <c r="C9" s="41" t="str">
        <f>IF(SUMPRODUCT(ISBLANK($E9:$H9)*1)&lt;4,spe_db_register!$D$9,"")</f>
        <v/>
      </c>
      <c r="D9" s="57" t="str">
        <f t="shared" si="1"/>
        <v/>
      </c>
      <c r="E9" s="249"/>
      <c r="F9" s="249"/>
      <c r="G9" s="42"/>
      <c r="H9" s="42"/>
      <c r="I9" s="51" t="str">
        <f t="shared" si="2"/>
        <v/>
      </c>
      <c r="J9" s="51" t="str">
        <f t="shared" si="2"/>
        <v/>
      </c>
    </row>
    <row r="10" spans="1:10" ht="10.5" customHeight="1" x14ac:dyDescent="0.25">
      <c r="A10" s="56" t="str">
        <f t="shared" si="0"/>
        <v/>
      </c>
      <c r="B10" s="129" t="str">
        <f>IF(SUMPRODUCT(ISBLANK($E10:$H10)*1)&lt;4,spe_db_register!$D$6,"")</f>
        <v/>
      </c>
      <c r="C10" s="41" t="str">
        <f>IF(SUMPRODUCT(ISBLANK($E10:$H10)*1)&lt;4,spe_db_register!$D$9,"")</f>
        <v/>
      </c>
      <c r="D10" s="57" t="str">
        <f t="shared" si="1"/>
        <v/>
      </c>
      <c r="E10" s="249"/>
      <c r="F10" s="249"/>
      <c r="G10" s="42"/>
      <c r="H10" s="42"/>
      <c r="I10" s="51" t="str">
        <f t="shared" si="2"/>
        <v/>
      </c>
      <c r="J10" s="51" t="str">
        <f t="shared" si="2"/>
        <v/>
      </c>
    </row>
    <row r="11" spans="1:10" ht="10.5" customHeight="1" x14ac:dyDescent="0.25">
      <c r="A11" s="56" t="str">
        <f t="shared" si="0"/>
        <v/>
      </c>
      <c r="B11" s="129" t="str">
        <f>IF(SUMPRODUCT(ISBLANK($E11:$H11)*1)&lt;4,spe_db_register!$D$6,"")</f>
        <v/>
      </c>
      <c r="C11" s="41" t="str">
        <f>IF(SUMPRODUCT(ISBLANK($E11:$H11)*1)&lt;4,spe_db_register!$D$9,"")</f>
        <v/>
      </c>
      <c r="D11" s="57" t="str">
        <f t="shared" si="1"/>
        <v/>
      </c>
      <c r="E11" s="249"/>
      <c r="F11" s="249"/>
      <c r="G11" s="42"/>
      <c r="H11" s="42"/>
      <c r="I11" s="51" t="str">
        <f t="shared" si="2"/>
        <v/>
      </c>
      <c r="J11" s="51" t="str">
        <f t="shared" si="2"/>
        <v/>
      </c>
    </row>
    <row r="12" spans="1:10" ht="10.5" customHeight="1" x14ac:dyDescent="0.25">
      <c r="A12" s="56" t="str">
        <f t="shared" si="0"/>
        <v/>
      </c>
      <c r="B12" s="129" t="str">
        <f>IF(SUMPRODUCT(ISBLANK($E12:$H12)*1)&lt;4,spe_db_register!$D$6,"")</f>
        <v/>
      </c>
      <c r="C12" s="41" t="str">
        <f>IF(SUMPRODUCT(ISBLANK($E12:$H12)*1)&lt;4,spe_db_register!$D$9,"")</f>
        <v/>
      </c>
      <c r="D12" s="57" t="str">
        <f t="shared" si="1"/>
        <v/>
      </c>
      <c r="E12" s="249"/>
      <c r="F12" s="249"/>
      <c r="G12" s="42"/>
      <c r="H12" s="42"/>
      <c r="I12" s="51" t="str">
        <f t="shared" si="2"/>
        <v/>
      </c>
      <c r="J12" s="51" t="str">
        <f t="shared" si="2"/>
        <v/>
      </c>
    </row>
    <row r="13" spans="1:10" ht="10.5" customHeight="1" x14ac:dyDescent="0.25">
      <c r="A13" s="56" t="str">
        <f t="shared" si="0"/>
        <v/>
      </c>
      <c r="B13" s="129" t="str">
        <f>IF(SUMPRODUCT(ISBLANK($E13:$H13)*1)&lt;4,spe_db_register!$D$6,"")</f>
        <v/>
      </c>
      <c r="C13" s="41" t="str">
        <f>IF(SUMPRODUCT(ISBLANK($E13:$H13)*1)&lt;4,spe_db_register!$D$9,"")</f>
        <v/>
      </c>
      <c r="D13" s="57" t="str">
        <f t="shared" si="1"/>
        <v/>
      </c>
      <c r="E13" s="249"/>
      <c r="F13" s="249"/>
      <c r="G13" s="42"/>
      <c r="H13" s="42"/>
      <c r="I13" s="51" t="str">
        <f t="shared" si="2"/>
        <v/>
      </c>
      <c r="J13" s="51" t="str">
        <f t="shared" si="2"/>
        <v/>
      </c>
    </row>
    <row r="14" spans="1:10" ht="10.5" customHeight="1" x14ac:dyDescent="0.25">
      <c r="A14" s="56" t="str">
        <f t="shared" si="0"/>
        <v/>
      </c>
      <c r="B14" s="129" t="str">
        <f>IF(SUMPRODUCT(ISBLANK($E14:$H14)*1)&lt;4,spe_db_register!$D$6,"")</f>
        <v/>
      </c>
      <c r="C14" s="41" t="str">
        <f>IF(SUMPRODUCT(ISBLANK($E14:$H14)*1)&lt;4,spe_db_register!$D$9,"")</f>
        <v/>
      </c>
      <c r="D14" s="57" t="str">
        <f t="shared" si="1"/>
        <v/>
      </c>
      <c r="E14" s="249"/>
      <c r="F14" s="249"/>
      <c r="G14" s="42"/>
      <c r="H14" s="42"/>
      <c r="I14" s="51" t="str">
        <f t="shared" si="2"/>
        <v/>
      </c>
      <c r="J14" s="51" t="str">
        <f t="shared" si="2"/>
        <v/>
      </c>
    </row>
    <row r="15" spans="1:10" ht="10.5" customHeight="1" x14ac:dyDescent="0.25">
      <c r="A15" s="56" t="str">
        <f t="shared" si="0"/>
        <v/>
      </c>
      <c r="B15" s="129" t="str">
        <f>IF(SUMPRODUCT(ISBLANK($E15:$H15)*1)&lt;4,spe_db_register!$D$6,"")</f>
        <v/>
      </c>
      <c r="C15" s="41" t="str">
        <f>IF(SUMPRODUCT(ISBLANK($E15:$H15)*1)&lt;4,spe_db_register!$D$9,"")</f>
        <v/>
      </c>
      <c r="D15" s="57" t="str">
        <f t="shared" si="1"/>
        <v/>
      </c>
      <c r="E15" s="249"/>
      <c r="F15" s="249"/>
      <c r="G15" s="42"/>
      <c r="H15" s="42"/>
      <c r="I15" s="51" t="str">
        <f t="shared" si="2"/>
        <v/>
      </c>
      <c r="J15" s="51" t="str">
        <f t="shared" si="2"/>
        <v/>
      </c>
    </row>
    <row r="16" spans="1:10" ht="10.5" customHeight="1" x14ac:dyDescent="0.25">
      <c r="A16" s="56" t="str">
        <f t="shared" si="0"/>
        <v/>
      </c>
      <c r="B16" s="129" t="str">
        <f>IF(SUMPRODUCT(ISBLANK($E16:$H16)*1)&lt;4,spe_db_register!$D$6,"")</f>
        <v/>
      </c>
      <c r="C16" s="41" t="str">
        <f>IF(SUMPRODUCT(ISBLANK($E16:$H16)*1)&lt;4,spe_db_register!$D$9,"")</f>
        <v/>
      </c>
      <c r="D16" s="57" t="str">
        <f t="shared" si="1"/>
        <v/>
      </c>
      <c r="E16" s="249"/>
      <c r="F16" s="249"/>
      <c r="G16" s="42"/>
      <c r="H16" s="42"/>
      <c r="I16" s="51" t="str">
        <f t="shared" si="2"/>
        <v/>
      </c>
      <c r="J16" s="51" t="str">
        <f t="shared" si="2"/>
        <v/>
      </c>
    </row>
    <row r="17" spans="1:10" ht="10.5" customHeight="1" x14ac:dyDescent="0.25">
      <c r="A17" s="56" t="str">
        <f t="shared" si="0"/>
        <v/>
      </c>
      <c r="B17" s="129" t="str">
        <f>IF(SUMPRODUCT(ISBLANK($E17:$H17)*1)&lt;4,spe_db_register!$D$6,"")</f>
        <v/>
      </c>
      <c r="C17" s="41" t="str">
        <f>IF(SUMPRODUCT(ISBLANK($E17:$H17)*1)&lt;4,spe_db_register!$D$9,"")</f>
        <v/>
      </c>
      <c r="D17" s="57" t="str">
        <f t="shared" si="1"/>
        <v/>
      </c>
      <c r="E17" s="249"/>
      <c r="F17" s="249"/>
      <c r="G17" s="42"/>
      <c r="H17" s="42"/>
      <c r="I17" s="51" t="str">
        <f t="shared" si="2"/>
        <v/>
      </c>
      <c r="J17" s="51" t="str">
        <f t="shared" si="2"/>
        <v/>
      </c>
    </row>
    <row r="18" spans="1:10" ht="10.5" customHeight="1" x14ac:dyDescent="0.25">
      <c r="A18" s="56" t="str">
        <f t="shared" si="0"/>
        <v/>
      </c>
      <c r="B18" s="129" t="str">
        <f>IF(SUMPRODUCT(ISBLANK($E18:$H18)*1)&lt;4,spe_db_register!$D$6,"")</f>
        <v/>
      </c>
      <c r="C18" s="41" t="str">
        <f>IF(SUMPRODUCT(ISBLANK($E18:$H18)*1)&lt;4,spe_db_register!$D$9,"")</f>
        <v/>
      </c>
      <c r="D18" s="57" t="str">
        <f t="shared" si="1"/>
        <v/>
      </c>
      <c r="E18" s="249"/>
      <c r="F18" s="249"/>
      <c r="G18" s="42"/>
      <c r="H18" s="42"/>
      <c r="I18" s="51" t="str">
        <f t="shared" si="2"/>
        <v/>
      </c>
      <c r="J18" s="51" t="str">
        <f t="shared" si="2"/>
        <v/>
      </c>
    </row>
    <row r="19" spans="1:10" ht="10.5" customHeight="1" x14ac:dyDescent="0.25">
      <c r="A19" s="56" t="str">
        <f t="shared" si="0"/>
        <v/>
      </c>
      <c r="B19" s="129" t="str">
        <f>IF(SUMPRODUCT(ISBLANK($E19:$H19)*1)&lt;4,spe_db_register!$D$6,"")</f>
        <v/>
      </c>
      <c r="C19" s="41" t="str">
        <f>IF(SUMPRODUCT(ISBLANK($E19:$H19)*1)&lt;4,spe_db_register!$D$9,"")</f>
        <v/>
      </c>
      <c r="D19" s="57" t="str">
        <f t="shared" si="1"/>
        <v/>
      </c>
      <c r="E19" s="249"/>
      <c r="F19" s="249"/>
      <c r="G19" s="42"/>
      <c r="H19" s="42"/>
      <c r="I19" s="51" t="str">
        <f t="shared" si="2"/>
        <v/>
      </c>
      <c r="J19" s="51" t="str">
        <f t="shared" si="2"/>
        <v/>
      </c>
    </row>
    <row r="20" spans="1:10" ht="10.5" customHeight="1" x14ac:dyDescent="0.25">
      <c r="A20" s="56" t="str">
        <f t="shared" si="0"/>
        <v/>
      </c>
      <c r="B20" s="129" t="str">
        <f>IF(SUMPRODUCT(ISBLANK($E20:$H20)*1)&lt;4,spe_db_register!$D$6,"")</f>
        <v/>
      </c>
      <c r="C20" s="41" t="str">
        <f>IF(SUMPRODUCT(ISBLANK($E20:$H20)*1)&lt;4,spe_db_register!$D$9,"")</f>
        <v/>
      </c>
      <c r="D20" s="57" t="str">
        <f t="shared" si="1"/>
        <v/>
      </c>
      <c r="E20" s="249"/>
      <c r="F20" s="249"/>
      <c r="G20" s="42"/>
      <c r="H20" s="42"/>
      <c r="I20" s="51" t="str">
        <f t="shared" si="2"/>
        <v/>
      </c>
      <c r="J20" s="51" t="str">
        <f t="shared" si="2"/>
        <v/>
      </c>
    </row>
    <row r="21" spans="1:10" ht="10.5" customHeight="1" x14ac:dyDescent="0.25">
      <c r="A21" s="56" t="str">
        <f t="shared" si="0"/>
        <v/>
      </c>
      <c r="B21" s="129" t="str">
        <f>IF(SUMPRODUCT(ISBLANK($E21:$H21)*1)&lt;4,spe_db_register!$D$6,"")</f>
        <v/>
      </c>
      <c r="C21" s="41" t="str">
        <f>IF(SUMPRODUCT(ISBLANK($E21:$H21)*1)&lt;4,spe_db_register!$D$9,"")</f>
        <v/>
      </c>
      <c r="D21" s="57" t="str">
        <f t="shared" si="1"/>
        <v/>
      </c>
      <c r="E21" s="249"/>
      <c r="F21" s="249"/>
      <c r="G21" s="42"/>
      <c r="H21" s="42"/>
      <c r="I21" s="51" t="str">
        <f t="shared" si="2"/>
        <v/>
      </c>
      <c r="J21" s="51" t="str">
        <f t="shared" si="2"/>
        <v/>
      </c>
    </row>
    <row r="22" spans="1:10" ht="10.5" customHeight="1" x14ac:dyDescent="0.25">
      <c r="A22" s="56" t="str">
        <f t="shared" si="0"/>
        <v/>
      </c>
      <c r="B22" s="129" t="str">
        <f>IF(SUMPRODUCT(ISBLANK($E22:$H22)*1)&lt;4,spe_db_register!$D$6,"")</f>
        <v/>
      </c>
      <c r="C22" s="41" t="str">
        <f>IF(SUMPRODUCT(ISBLANK($E22:$H22)*1)&lt;4,spe_db_register!$D$9,"")</f>
        <v/>
      </c>
      <c r="D22" s="57" t="str">
        <f t="shared" si="1"/>
        <v/>
      </c>
      <c r="E22" s="249"/>
      <c r="F22" s="249"/>
      <c r="G22" s="42"/>
      <c r="H22" s="42"/>
      <c r="I22" s="51" t="str">
        <f t="shared" si="2"/>
        <v/>
      </c>
      <c r="J22" s="51" t="str">
        <f t="shared" si="2"/>
        <v/>
      </c>
    </row>
    <row r="23" spans="1:10" ht="10.5" customHeight="1" x14ac:dyDescent="0.25">
      <c r="A23" s="56" t="str">
        <f t="shared" si="0"/>
        <v/>
      </c>
      <c r="B23" s="129" t="str">
        <f>IF(SUMPRODUCT(ISBLANK($E23:$H23)*1)&lt;4,spe_db_register!$D$6,"")</f>
        <v/>
      </c>
      <c r="C23" s="41" t="str">
        <f>IF(SUMPRODUCT(ISBLANK($E23:$H23)*1)&lt;4,spe_db_register!$D$9,"")</f>
        <v/>
      </c>
      <c r="D23" s="57" t="str">
        <f t="shared" si="1"/>
        <v/>
      </c>
      <c r="E23" s="249"/>
      <c r="F23" s="249"/>
      <c r="G23" s="42"/>
      <c r="H23" s="42"/>
      <c r="I23" s="51" t="str">
        <f t="shared" si="2"/>
        <v/>
      </c>
      <c r="J23" s="51" t="str">
        <f t="shared" si="2"/>
        <v/>
      </c>
    </row>
    <row r="24" spans="1:10" ht="10.5" customHeight="1" x14ac:dyDescent="0.25">
      <c r="A24" s="56" t="str">
        <f t="shared" si="0"/>
        <v/>
      </c>
      <c r="B24" s="129" t="str">
        <f>IF(SUMPRODUCT(ISBLANK($E24:$H24)*1)&lt;4,spe_db_register!$D$6,"")</f>
        <v/>
      </c>
      <c r="C24" s="41" t="str">
        <f>IF(SUMPRODUCT(ISBLANK($E24:$H24)*1)&lt;4,spe_db_register!$D$9,"")</f>
        <v/>
      </c>
      <c r="D24" s="57" t="str">
        <f t="shared" si="1"/>
        <v/>
      </c>
      <c r="E24" s="249"/>
      <c r="F24" s="249"/>
      <c r="G24" s="42"/>
      <c r="H24" s="42"/>
      <c r="I24" s="51" t="str">
        <f t="shared" si="2"/>
        <v/>
      </c>
      <c r="J24" s="51" t="str">
        <f t="shared" si="2"/>
        <v/>
      </c>
    </row>
    <row r="25" spans="1:10" ht="10.5" customHeight="1" x14ac:dyDescent="0.25">
      <c r="A25" s="56" t="str">
        <f t="shared" si="0"/>
        <v/>
      </c>
      <c r="B25" s="129" t="str">
        <f>IF(SUMPRODUCT(ISBLANK($E25:$H25)*1)&lt;4,spe_db_register!$D$6,"")</f>
        <v/>
      </c>
      <c r="C25" s="41" t="str">
        <f>IF(SUMPRODUCT(ISBLANK($E25:$H25)*1)&lt;4,spe_db_register!$D$9,"")</f>
        <v/>
      </c>
      <c r="D25" s="57" t="str">
        <f t="shared" si="1"/>
        <v/>
      </c>
      <c r="E25" s="249"/>
      <c r="F25" s="249"/>
      <c r="G25" s="42"/>
      <c r="H25" s="42"/>
      <c r="I25" s="51" t="str">
        <f t="shared" si="2"/>
        <v/>
      </c>
      <c r="J25" s="51" t="str">
        <f t="shared" si="2"/>
        <v/>
      </c>
    </row>
    <row r="26" spans="1:10" ht="10.5" customHeight="1" x14ac:dyDescent="0.25">
      <c r="A26" s="56" t="str">
        <f t="shared" si="0"/>
        <v/>
      </c>
      <c r="B26" s="129" t="str">
        <f>IF(SUMPRODUCT(ISBLANK($E26:$H26)*1)&lt;4,spe_db_register!$D$6,"")</f>
        <v/>
      </c>
      <c r="C26" s="41" t="str">
        <f>IF(SUMPRODUCT(ISBLANK($E26:$H26)*1)&lt;4,spe_db_register!$D$9,"")</f>
        <v/>
      </c>
      <c r="D26" s="57" t="str">
        <f t="shared" si="1"/>
        <v/>
      </c>
      <c r="E26" s="249"/>
      <c r="F26" s="249"/>
      <c r="G26" s="42"/>
      <c r="H26" s="42"/>
      <c r="I26" s="51" t="str">
        <f t="shared" si="2"/>
        <v/>
      </c>
      <c r="J26" s="51" t="str">
        <f t="shared" si="2"/>
        <v/>
      </c>
    </row>
  </sheetData>
  <sheetProtection algorithmName="SHA-512" hashValue="djXEtGmL7v9IOwIzEey8FTo+KuqoxzkevQhhTvJtSVjsidK9yZtxk0JxHh4EvvbGuma4cNSHZLsBilgnZdSf7w==" saltValue="8nRKDbUNcm9N6yU+17gwMw==" spinCount="100000" sheet="1" objects="1" scenarios="1"/>
  <autoFilter ref="A1:J26"/>
  <dataValidations count="1">
    <dataValidation type="textLength" errorStyle="warning" operator="equal" allowBlank="1" showErrorMessage="1" errorTitle="LEI" error="LEI Code must be exactly 20 characters in length." sqref="F2:F26">
      <formula1>20</formula1>
    </dataValidation>
  </dataValidation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Title="Sector" error="Select Sector from List">
          <x14:formula1>
            <xm:f>lists!$U$2:$U$15</xm:f>
          </x14:formula1>
          <xm:sqref>H2:H26</xm:sqref>
        </x14:dataValidation>
        <x14:dataValidation type="list" errorStyle="warning" showErrorMessage="1" errorTitle="Country" error="Select Country from List">
          <x14:formula1>
            <xm:f>lists!$S$2:$S$249</xm:f>
          </x14:formula1>
          <xm:sqref>G2:G26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autoPageBreaks="0"/>
  </sheetPr>
  <dimension ref="A1:J6"/>
  <sheetViews>
    <sheetView showGridLines="0" showRowColHeaders="0" workbookViewId="0">
      <pane ySplit="1" topLeftCell="A2" activePane="bottomLeft" state="frozen"/>
      <selection sqref="A1:I26"/>
      <selection pane="bottomLeft" activeCell="E2" sqref="E2:H2"/>
    </sheetView>
  </sheetViews>
  <sheetFormatPr defaultColWidth="0" defaultRowHeight="10.5" customHeight="1" zeroHeight="1" x14ac:dyDescent="0.25"/>
  <cols>
    <col min="1" max="2" width="15.6640625" customWidth="1"/>
    <col min="3" max="3" width="30.6640625" customWidth="1"/>
    <col min="4" max="4" width="8.33203125" hidden="1" customWidth="1"/>
    <col min="5" max="5" width="60.6640625" customWidth="1"/>
    <col min="6" max="6" width="20.6640625" customWidth="1"/>
    <col min="7" max="8" width="40.6640625" customWidth="1"/>
    <col min="9" max="10" width="9.109375" hidden="1" customWidth="1"/>
    <col min="11" max="16384" width="9.109375" hidden="1"/>
  </cols>
  <sheetData>
    <row r="1" spans="1:10" s="53" customFormat="1" ht="10.5" customHeight="1" x14ac:dyDescent="0.25">
      <c r="A1" s="40" t="s">
        <v>1380</v>
      </c>
      <c r="B1" s="128" t="s">
        <v>1381</v>
      </c>
      <c r="C1" s="40" t="s">
        <v>917</v>
      </c>
      <c r="D1" s="40" t="s">
        <v>1383</v>
      </c>
      <c r="E1" s="31" t="s">
        <v>1205</v>
      </c>
      <c r="F1" s="1" t="s">
        <v>1</v>
      </c>
      <c r="G1" s="250" t="s">
        <v>1464</v>
      </c>
      <c r="H1" s="250" t="s">
        <v>1463</v>
      </c>
      <c r="I1" s="26" t="s">
        <v>9</v>
      </c>
      <c r="J1" s="26" t="s">
        <v>10</v>
      </c>
    </row>
    <row r="2" spans="1:10" s="53" customFormat="1" ht="10.5" customHeight="1" x14ac:dyDescent="0.25">
      <c r="A2" s="54" t="str">
        <f>IF(SUMPRODUCT(ISBLANK($E2:$H2)*1)&lt;4,"spe_consolidator","")</f>
        <v/>
      </c>
      <c r="B2" s="129" t="str">
        <f>IF(SUMPRODUCT(ISBLANK($E2:$H2)*1)&lt;4,spe_db_register!$D$6,"")</f>
        <v/>
      </c>
      <c r="C2" s="41" t="str">
        <f>IF(SUMPRODUCT(ISBLANK($E2:$H2)*1)&lt;4,spe_db_register!$D$9,"")</f>
        <v/>
      </c>
      <c r="D2" s="57" t="str">
        <f>IFERROR(IF(SUMPRODUCT(ISBLANK($E2:$H2)*1)&lt;4,1/SUMPRODUCT(((ISNONTEXT($E$2:$E$6)*1)=0)*1),""),0)</f>
        <v/>
      </c>
      <c r="E2" s="247"/>
      <c r="F2" s="249"/>
      <c r="G2" s="42"/>
      <c r="H2" s="42"/>
      <c r="I2" s="51" t="str">
        <f>IF(SUMPRODUCT(ISBLANK($E2:$H2)*1)&lt;4,FALSE,"")</f>
        <v/>
      </c>
      <c r="J2" s="51" t="str">
        <f>IF(SUMPRODUCT(ISBLANK($E2:$H2)*1)&lt;4,FALSE,"")</f>
        <v/>
      </c>
    </row>
    <row r="3" spans="1:10" s="53" customFormat="1" ht="10.5" customHeight="1" x14ac:dyDescent="0.25">
      <c r="A3" s="335" t="str">
        <f t="shared" ref="A3:A6" si="0">IF(SUMPRODUCT(ISBLANK($E3:$H3)*1)&lt;4,"spe_consolidator","")</f>
        <v/>
      </c>
      <c r="B3" s="336" t="str">
        <f>IF(SUMPRODUCT(ISBLANK($E3:$H3)*1)&lt;4,spe_db_register!$D$6,"")</f>
        <v/>
      </c>
      <c r="C3" s="337" t="str">
        <f>IF(SUMPRODUCT(ISBLANK($E3:$H3)*1)&lt;4,spe_db_register!$D$9,"")</f>
        <v/>
      </c>
      <c r="D3" s="338" t="str">
        <f t="shared" ref="D3:D6" si="1">IFERROR(IF(SUMPRODUCT(ISBLANK($E3:$H3)*1)&lt;4,1/SUMPRODUCT(((ISNONTEXT($E$2:$E$6)*1)=0)*1),""),0)</f>
        <v/>
      </c>
      <c r="E3" s="339"/>
      <c r="F3" s="339"/>
      <c r="G3" s="334"/>
      <c r="H3" s="334"/>
      <c r="I3" s="339" t="str">
        <f t="shared" ref="I3:J6" si="2">IF(SUMPRODUCT(ISBLANK($E3:$H3)*1)&lt;4,"NULL","")</f>
        <v/>
      </c>
      <c r="J3" s="339" t="str">
        <f t="shared" si="2"/>
        <v/>
      </c>
    </row>
    <row r="4" spans="1:10" s="53" customFormat="1" ht="10.5" customHeight="1" x14ac:dyDescent="0.25">
      <c r="A4" s="335" t="str">
        <f t="shared" si="0"/>
        <v/>
      </c>
      <c r="B4" s="336" t="str">
        <f>IF(SUMPRODUCT(ISBLANK($E4:$H4)*1)&lt;4,spe_db_register!$D$6,"")</f>
        <v/>
      </c>
      <c r="C4" s="337" t="str">
        <f>IF(SUMPRODUCT(ISBLANK($E4:$H4)*1)&lt;4,spe_db_register!$D$9,"")</f>
        <v/>
      </c>
      <c r="D4" s="338" t="str">
        <f t="shared" si="1"/>
        <v/>
      </c>
      <c r="E4" s="339"/>
      <c r="F4" s="339"/>
      <c r="G4" s="334"/>
      <c r="H4" s="334"/>
      <c r="I4" s="339" t="str">
        <f t="shared" si="2"/>
        <v/>
      </c>
      <c r="J4" s="339" t="str">
        <f t="shared" si="2"/>
        <v/>
      </c>
    </row>
    <row r="5" spans="1:10" s="53" customFormat="1" ht="10.5" customHeight="1" x14ac:dyDescent="0.25">
      <c r="A5" s="335" t="str">
        <f t="shared" si="0"/>
        <v/>
      </c>
      <c r="B5" s="336" t="str">
        <f>IF(SUMPRODUCT(ISBLANK($E5:$H5)*1)&lt;4,spe_db_register!$D$6,"")</f>
        <v/>
      </c>
      <c r="C5" s="337" t="str">
        <f>IF(SUMPRODUCT(ISBLANK($E5:$H5)*1)&lt;4,spe_db_register!$D$9,"")</f>
        <v/>
      </c>
      <c r="D5" s="338" t="str">
        <f t="shared" si="1"/>
        <v/>
      </c>
      <c r="E5" s="339"/>
      <c r="F5" s="339"/>
      <c r="G5" s="334"/>
      <c r="H5" s="334"/>
      <c r="I5" s="339" t="str">
        <f t="shared" si="2"/>
        <v/>
      </c>
      <c r="J5" s="339" t="str">
        <f t="shared" si="2"/>
        <v/>
      </c>
    </row>
    <row r="6" spans="1:10" s="53" customFormat="1" ht="10.5" customHeight="1" x14ac:dyDescent="0.25">
      <c r="A6" s="335" t="str">
        <f t="shared" si="0"/>
        <v/>
      </c>
      <c r="B6" s="336" t="str">
        <f>IF(SUMPRODUCT(ISBLANK($E6:$H6)*1)&lt;4,spe_db_register!$D$6,"")</f>
        <v/>
      </c>
      <c r="C6" s="337" t="str">
        <f>IF(SUMPRODUCT(ISBLANK($E6:$H6)*1)&lt;4,spe_db_register!$D$9,"")</f>
        <v/>
      </c>
      <c r="D6" s="338" t="str">
        <f t="shared" si="1"/>
        <v/>
      </c>
      <c r="E6" s="339"/>
      <c r="F6" s="339"/>
      <c r="G6" s="334"/>
      <c r="H6" s="334"/>
      <c r="I6" s="339" t="str">
        <f t="shared" si="2"/>
        <v/>
      </c>
      <c r="J6" s="339" t="str">
        <f t="shared" si="2"/>
        <v/>
      </c>
    </row>
  </sheetData>
  <sheetProtection algorithmName="SHA-512" hashValue="ckALRu37smvN8pmVkdgIMSMvZaHPw3xiM/0+A7BP4NQso3Rx75PSo7FPEcyU6YPn3tcSu+6AwYu9FlHUUho8hg==" saltValue="nLQmuq02JQXlxt5PdjVLJg==" spinCount="100000" sheet="1" objects="1" scenarios="1"/>
  <dataValidations count="1">
    <dataValidation type="textLength" errorStyle="warning" operator="equal" allowBlank="1" showErrorMessage="1" errorTitle="LEI" error="LEI Code must be exactly 20 characters in length." sqref="F2:F6">
      <formula1>20</formula1>
    </dataValidation>
  </dataValidation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extLst>
    <ext xmlns:x14="http://schemas.microsoft.com/office/spreadsheetml/2009/9/main" uri="{CCE6A557-97BC-4b89-ADB6-D9C93CAAB3DF}">
      <x14:dataValidations xmlns:xm="http://schemas.microsoft.com/office/excel/2006/main" count="4">
        <x14:dataValidation type="list" allowBlank="1">
          <x14:formula1>
            <xm:f>lists!$U$2:$U$15</xm:f>
          </x14:formula1>
          <xm:sqref>H3:H6</xm:sqref>
        </x14:dataValidation>
        <x14:dataValidation type="list" allowBlank="1">
          <x14:formula1>
            <xm:f>lists!$S$2:$S$249</xm:f>
          </x14:formula1>
          <xm:sqref>G3:G6</xm:sqref>
        </x14:dataValidation>
        <x14:dataValidation type="list" errorStyle="warning" showErrorMessage="1" errorTitle="Country" error="Select Country from List">
          <x14:formula1>
            <xm:f>lists!$S$2:$S$249</xm:f>
          </x14:formula1>
          <xm:sqref>G2</xm:sqref>
        </x14:dataValidation>
        <x14:dataValidation type="list" errorStyle="warning" allowBlank="1" showInputMessage="1" showErrorMessage="1" errorTitle="Sector" error="Select Sector from List">
          <x14:formula1>
            <xm:f>lists!$U$2:$U$15</xm:f>
          </x14:formula1>
          <xm:sqref>H2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autoPageBreaks="0"/>
  </sheetPr>
  <dimension ref="A1:G90"/>
  <sheetViews>
    <sheetView workbookViewId="0">
      <selection activeCell="A86" sqref="A86:XFD1048576"/>
    </sheetView>
  </sheetViews>
  <sheetFormatPr defaultColWidth="0" defaultRowHeight="13.8" zeroHeight="1" x14ac:dyDescent="0.25"/>
  <cols>
    <col min="1" max="7" width="15.6640625" customWidth="1"/>
    <col min="8" max="16384" width="9.109375" hidden="1"/>
  </cols>
  <sheetData>
    <row r="1" spans="1:7" ht="10.5" customHeight="1" x14ac:dyDescent="0.25">
      <c r="A1" s="2" t="s">
        <v>48</v>
      </c>
      <c r="B1" s="2" t="s">
        <v>49</v>
      </c>
      <c r="C1" s="2" t="s">
        <v>902</v>
      </c>
      <c r="D1" s="2" t="s">
        <v>2</v>
      </c>
      <c r="E1" s="2" t="s">
        <v>50</v>
      </c>
      <c r="F1" s="2" t="s">
        <v>2</v>
      </c>
      <c r="G1" s="463" t="s">
        <v>1548</v>
      </c>
    </row>
    <row r="2" spans="1:7" ht="10.5" customHeight="1" x14ac:dyDescent="0.25">
      <c r="A2" s="5"/>
      <c r="B2" s="5"/>
      <c r="C2" s="4"/>
      <c r="D2" s="24">
        <v>401768</v>
      </c>
      <c r="E2" s="25" t="str">
        <f t="shared" ref="E2:E52" si="0">YEAR($D2) &amp; "Q" &amp; INT((YEARFRAC(DATE(YEAR($D2),1,1),$D2,1))*4)+1</f>
        <v>2999Q4</v>
      </c>
      <c r="F2" s="24">
        <f>D2</f>
        <v>401768</v>
      </c>
      <c r="G2" s="24">
        <v>401768</v>
      </c>
    </row>
    <row r="3" spans="1:7" ht="10.5" customHeight="1" x14ac:dyDescent="0.25">
      <c r="A3" s="5"/>
      <c r="B3" s="5"/>
      <c r="C3" s="4">
        <f t="shared" ref="C3:C25" si="1">C4+3</f>
        <v>87</v>
      </c>
      <c r="D3" s="20">
        <f t="shared" ref="D3:D26" ca="1" si="2">EDATE($B$31,$C3)</f>
        <v>47482</v>
      </c>
      <c r="E3" s="21" t="str">
        <f t="shared" ca="1" si="0"/>
        <v>2029Q4</v>
      </c>
      <c r="F3" s="20">
        <f t="shared" ref="F3:F26" ca="1" si="3">D3</f>
        <v>47482</v>
      </c>
      <c r="G3" s="20">
        <f t="shared" ref="G3:G26" ca="1" si="4">DATE(YEAR($D3),MONTH($D3-75),1)</f>
        <v>47392</v>
      </c>
    </row>
    <row r="4" spans="1:7" ht="10.5" customHeight="1" x14ac:dyDescent="0.25">
      <c r="A4" s="5"/>
      <c r="B4" s="5"/>
      <c r="C4" s="4">
        <f t="shared" si="1"/>
        <v>84</v>
      </c>
      <c r="D4" s="20">
        <f t="shared" ca="1" si="2"/>
        <v>47391</v>
      </c>
      <c r="E4" s="21" t="str">
        <f t="shared" ca="1" si="0"/>
        <v>2029Q3</v>
      </c>
      <c r="F4" s="20">
        <f t="shared" ca="1" si="3"/>
        <v>47391</v>
      </c>
      <c r="G4" s="20">
        <f t="shared" ca="1" si="4"/>
        <v>47300</v>
      </c>
    </row>
    <row r="5" spans="1:7" ht="10.5" customHeight="1" x14ac:dyDescent="0.25">
      <c r="A5" s="5"/>
      <c r="B5" s="5"/>
      <c r="C5" s="4">
        <f t="shared" si="1"/>
        <v>81</v>
      </c>
      <c r="D5" s="20">
        <f t="shared" ca="1" si="2"/>
        <v>47299</v>
      </c>
      <c r="E5" s="21" t="str">
        <f t="shared" ca="1" si="0"/>
        <v>2029Q2</v>
      </c>
      <c r="F5" s="20">
        <f t="shared" ca="1" si="3"/>
        <v>47299</v>
      </c>
      <c r="G5" s="20">
        <f t="shared" ca="1" si="4"/>
        <v>47209</v>
      </c>
    </row>
    <row r="6" spans="1:7" ht="10.5" customHeight="1" x14ac:dyDescent="0.25">
      <c r="A6" s="5"/>
      <c r="B6" s="5"/>
      <c r="C6" s="4">
        <f t="shared" si="1"/>
        <v>78</v>
      </c>
      <c r="D6" s="20">
        <f t="shared" ca="1" si="2"/>
        <v>47207</v>
      </c>
      <c r="E6" s="21" t="str">
        <f t="shared" ca="1" si="0"/>
        <v>2029Q1</v>
      </c>
      <c r="F6" s="20">
        <f t="shared" ca="1" si="3"/>
        <v>47207</v>
      </c>
      <c r="G6" s="20">
        <f t="shared" ca="1" si="4"/>
        <v>47119</v>
      </c>
    </row>
    <row r="7" spans="1:7" ht="10.5" customHeight="1" x14ac:dyDescent="0.25">
      <c r="A7" s="5"/>
      <c r="B7" s="5"/>
      <c r="C7" s="4">
        <f t="shared" si="1"/>
        <v>75</v>
      </c>
      <c r="D7" s="20">
        <f t="shared" ca="1" si="2"/>
        <v>47117</v>
      </c>
      <c r="E7" s="21" t="str">
        <f t="shared" ca="1" si="0"/>
        <v>2028Q4</v>
      </c>
      <c r="F7" s="20">
        <f t="shared" ca="1" si="3"/>
        <v>47117</v>
      </c>
      <c r="G7" s="20">
        <f t="shared" ca="1" si="4"/>
        <v>47027</v>
      </c>
    </row>
    <row r="8" spans="1:7" ht="10.5" customHeight="1" x14ac:dyDescent="0.25">
      <c r="A8" s="5"/>
      <c r="B8" s="5"/>
      <c r="C8" s="4">
        <f t="shared" si="1"/>
        <v>72</v>
      </c>
      <c r="D8" s="20">
        <f t="shared" ca="1" si="2"/>
        <v>47026</v>
      </c>
      <c r="E8" s="21" t="str">
        <f t="shared" ca="1" si="0"/>
        <v>2028Q3</v>
      </c>
      <c r="F8" s="20">
        <f t="shared" ca="1" si="3"/>
        <v>47026</v>
      </c>
      <c r="G8" s="20">
        <f t="shared" ca="1" si="4"/>
        <v>46935</v>
      </c>
    </row>
    <row r="9" spans="1:7" ht="10.5" customHeight="1" x14ac:dyDescent="0.25">
      <c r="A9" s="5"/>
      <c r="B9" s="5"/>
      <c r="C9" s="4">
        <f t="shared" si="1"/>
        <v>69</v>
      </c>
      <c r="D9" s="20">
        <f t="shared" ca="1" si="2"/>
        <v>46934</v>
      </c>
      <c r="E9" s="21" t="str">
        <f t="shared" ca="1" si="0"/>
        <v>2028Q2</v>
      </c>
      <c r="F9" s="20">
        <f t="shared" ca="1" si="3"/>
        <v>46934</v>
      </c>
      <c r="G9" s="20">
        <f t="shared" ca="1" si="4"/>
        <v>46844</v>
      </c>
    </row>
    <row r="10" spans="1:7" ht="10.5" customHeight="1" x14ac:dyDescent="0.25">
      <c r="A10" s="5"/>
      <c r="B10" s="5"/>
      <c r="C10" s="4">
        <f t="shared" si="1"/>
        <v>66</v>
      </c>
      <c r="D10" s="20">
        <f t="shared" ca="1" si="2"/>
        <v>46842</v>
      </c>
      <c r="E10" s="21" t="str">
        <f t="shared" ca="1" si="0"/>
        <v>2028Q1</v>
      </c>
      <c r="F10" s="20">
        <f t="shared" ca="1" si="3"/>
        <v>46842</v>
      </c>
      <c r="G10" s="20">
        <f t="shared" ca="1" si="4"/>
        <v>46753</v>
      </c>
    </row>
    <row r="11" spans="1:7" ht="10.5" customHeight="1" x14ac:dyDescent="0.25">
      <c r="A11" s="5"/>
      <c r="B11" s="5"/>
      <c r="C11" s="4">
        <f t="shared" si="1"/>
        <v>63</v>
      </c>
      <c r="D11" s="20">
        <f t="shared" ca="1" si="2"/>
        <v>46751</v>
      </c>
      <c r="E11" s="21" t="str">
        <f t="shared" ca="1" si="0"/>
        <v>2027Q4</v>
      </c>
      <c r="F11" s="20">
        <f t="shared" ca="1" si="3"/>
        <v>46751</v>
      </c>
      <c r="G11" s="20">
        <f t="shared" ca="1" si="4"/>
        <v>46661</v>
      </c>
    </row>
    <row r="12" spans="1:7" ht="10.5" customHeight="1" x14ac:dyDescent="0.25">
      <c r="A12" s="5"/>
      <c r="B12" s="5"/>
      <c r="C12" s="4">
        <f t="shared" si="1"/>
        <v>60</v>
      </c>
      <c r="D12" s="20">
        <f t="shared" ca="1" si="2"/>
        <v>46660</v>
      </c>
      <c r="E12" s="21" t="str">
        <f t="shared" ca="1" si="0"/>
        <v>2027Q3</v>
      </c>
      <c r="F12" s="20">
        <f t="shared" ca="1" si="3"/>
        <v>46660</v>
      </c>
      <c r="G12" s="20">
        <f t="shared" ca="1" si="4"/>
        <v>46569</v>
      </c>
    </row>
    <row r="13" spans="1:7" ht="10.5" customHeight="1" x14ac:dyDescent="0.25">
      <c r="A13" s="5"/>
      <c r="B13" s="5"/>
      <c r="C13" s="4">
        <f t="shared" si="1"/>
        <v>57</v>
      </c>
      <c r="D13" s="20">
        <f t="shared" ca="1" si="2"/>
        <v>46568</v>
      </c>
      <c r="E13" s="21" t="str">
        <f t="shared" ca="1" si="0"/>
        <v>2027Q2</v>
      </c>
      <c r="F13" s="20">
        <f t="shared" ca="1" si="3"/>
        <v>46568</v>
      </c>
      <c r="G13" s="20">
        <f t="shared" ca="1" si="4"/>
        <v>46478</v>
      </c>
    </row>
    <row r="14" spans="1:7" ht="10.5" customHeight="1" x14ac:dyDescent="0.25">
      <c r="A14" s="5"/>
      <c r="B14" s="5"/>
      <c r="C14" s="4">
        <f t="shared" si="1"/>
        <v>54</v>
      </c>
      <c r="D14" s="20">
        <f t="shared" ca="1" si="2"/>
        <v>46476</v>
      </c>
      <c r="E14" s="21" t="str">
        <f t="shared" ca="1" si="0"/>
        <v>2027Q1</v>
      </c>
      <c r="F14" s="20">
        <f t="shared" ca="1" si="3"/>
        <v>46476</v>
      </c>
      <c r="G14" s="20">
        <f t="shared" ca="1" si="4"/>
        <v>46388</v>
      </c>
    </row>
    <row r="15" spans="1:7" ht="10.5" customHeight="1" x14ac:dyDescent="0.25">
      <c r="A15" s="5"/>
      <c r="B15" s="5"/>
      <c r="C15" s="4">
        <f t="shared" si="1"/>
        <v>51</v>
      </c>
      <c r="D15" s="20">
        <f t="shared" ca="1" si="2"/>
        <v>46386</v>
      </c>
      <c r="E15" s="21" t="str">
        <f t="shared" ca="1" si="0"/>
        <v>2026Q4</v>
      </c>
      <c r="F15" s="20">
        <f t="shared" ca="1" si="3"/>
        <v>46386</v>
      </c>
      <c r="G15" s="20">
        <f t="shared" ca="1" si="4"/>
        <v>46296</v>
      </c>
    </row>
    <row r="16" spans="1:7" ht="10.5" customHeight="1" x14ac:dyDescent="0.25">
      <c r="A16" s="5"/>
      <c r="B16" s="5"/>
      <c r="C16" s="4">
        <f t="shared" si="1"/>
        <v>48</v>
      </c>
      <c r="D16" s="20">
        <f t="shared" ca="1" si="2"/>
        <v>46295</v>
      </c>
      <c r="E16" s="21" t="str">
        <f t="shared" ca="1" si="0"/>
        <v>2026Q3</v>
      </c>
      <c r="F16" s="20">
        <f t="shared" ca="1" si="3"/>
        <v>46295</v>
      </c>
      <c r="G16" s="20">
        <f t="shared" ca="1" si="4"/>
        <v>46204</v>
      </c>
    </row>
    <row r="17" spans="1:7" ht="10.5" customHeight="1" x14ac:dyDescent="0.25">
      <c r="A17" s="5"/>
      <c r="B17" s="5"/>
      <c r="C17" s="4">
        <f t="shared" si="1"/>
        <v>45</v>
      </c>
      <c r="D17" s="20">
        <f t="shared" ca="1" si="2"/>
        <v>46203</v>
      </c>
      <c r="E17" s="21" t="str">
        <f t="shared" ca="1" si="0"/>
        <v>2026Q2</v>
      </c>
      <c r="F17" s="20">
        <f t="shared" ca="1" si="3"/>
        <v>46203</v>
      </c>
      <c r="G17" s="20">
        <f t="shared" ca="1" si="4"/>
        <v>46113</v>
      </c>
    </row>
    <row r="18" spans="1:7" ht="10.5" customHeight="1" x14ac:dyDescent="0.25">
      <c r="A18" s="5"/>
      <c r="B18" s="5"/>
      <c r="C18" s="4">
        <f t="shared" si="1"/>
        <v>42</v>
      </c>
      <c r="D18" s="20">
        <f t="shared" ca="1" si="2"/>
        <v>46111</v>
      </c>
      <c r="E18" s="21" t="str">
        <f t="shared" ca="1" si="0"/>
        <v>2026Q1</v>
      </c>
      <c r="F18" s="20">
        <f t="shared" ca="1" si="3"/>
        <v>46111</v>
      </c>
      <c r="G18" s="20">
        <f t="shared" ca="1" si="4"/>
        <v>46023</v>
      </c>
    </row>
    <row r="19" spans="1:7" ht="10.5" customHeight="1" x14ac:dyDescent="0.25">
      <c r="A19" s="5"/>
      <c r="B19" s="5"/>
      <c r="C19" s="4">
        <f t="shared" si="1"/>
        <v>39</v>
      </c>
      <c r="D19" s="20">
        <f t="shared" ca="1" si="2"/>
        <v>46021</v>
      </c>
      <c r="E19" s="21" t="str">
        <f t="shared" ca="1" si="0"/>
        <v>2025Q4</v>
      </c>
      <c r="F19" s="20">
        <f t="shared" ca="1" si="3"/>
        <v>46021</v>
      </c>
      <c r="G19" s="20">
        <f t="shared" ca="1" si="4"/>
        <v>45931</v>
      </c>
    </row>
    <row r="20" spans="1:7" ht="10.5" customHeight="1" x14ac:dyDescent="0.25">
      <c r="A20" s="5"/>
      <c r="B20" s="5"/>
      <c r="C20" s="4">
        <f t="shared" si="1"/>
        <v>36</v>
      </c>
      <c r="D20" s="20">
        <f t="shared" ca="1" si="2"/>
        <v>45930</v>
      </c>
      <c r="E20" s="21" t="str">
        <f t="shared" ca="1" si="0"/>
        <v>2025Q3</v>
      </c>
      <c r="F20" s="20">
        <f t="shared" ca="1" si="3"/>
        <v>45930</v>
      </c>
      <c r="G20" s="20">
        <f t="shared" ca="1" si="4"/>
        <v>45839</v>
      </c>
    </row>
    <row r="21" spans="1:7" ht="10.5" customHeight="1" x14ac:dyDescent="0.25">
      <c r="A21" s="5"/>
      <c r="B21" s="5"/>
      <c r="C21" s="4">
        <f t="shared" si="1"/>
        <v>33</v>
      </c>
      <c r="D21" s="20">
        <f t="shared" ca="1" si="2"/>
        <v>45838</v>
      </c>
      <c r="E21" s="21" t="str">
        <f t="shared" ca="1" si="0"/>
        <v>2025Q2</v>
      </c>
      <c r="F21" s="20">
        <f t="shared" ca="1" si="3"/>
        <v>45838</v>
      </c>
      <c r="G21" s="20">
        <f t="shared" ca="1" si="4"/>
        <v>45748</v>
      </c>
    </row>
    <row r="22" spans="1:7" ht="10.5" customHeight="1" x14ac:dyDescent="0.25">
      <c r="A22" s="5"/>
      <c r="B22" s="5"/>
      <c r="C22" s="4">
        <f t="shared" si="1"/>
        <v>30</v>
      </c>
      <c r="D22" s="20">
        <f t="shared" ca="1" si="2"/>
        <v>45746</v>
      </c>
      <c r="E22" s="21" t="str">
        <f t="shared" ca="1" si="0"/>
        <v>2025Q1</v>
      </c>
      <c r="F22" s="20">
        <f t="shared" ca="1" si="3"/>
        <v>45746</v>
      </c>
      <c r="G22" s="20">
        <f t="shared" ca="1" si="4"/>
        <v>45658</v>
      </c>
    </row>
    <row r="23" spans="1:7" ht="10.5" customHeight="1" x14ac:dyDescent="0.25">
      <c r="A23" s="5"/>
      <c r="B23" s="5"/>
      <c r="C23" s="4">
        <f t="shared" si="1"/>
        <v>27</v>
      </c>
      <c r="D23" s="20">
        <f t="shared" ca="1" si="2"/>
        <v>45656</v>
      </c>
      <c r="E23" s="21" t="str">
        <f t="shared" ca="1" si="0"/>
        <v>2024Q4</v>
      </c>
      <c r="F23" s="20">
        <f t="shared" ca="1" si="3"/>
        <v>45656</v>
      </c>
      <c r="G23" s="20">
        <f t="shared" ca="1" si="4"/>
        <v>45566</v>
      </c>
    </row>
    <row r="24" spans="1:7" ht="10.5" customHeight="1" x14ac:dyDescent="0.25">
      <c r="A24" s="5"/>
      <c r="B24" s="5"/>
      <c r="C24" s="4">
        <f t="shared" si="1"/>
        <v>24</v>
      </c>
      <c r="D24" s="20">
        <f t="shared" ca="1" si="2"/>
        <v>45565</v>
      </c>
      <c r="E24" s="21" t="str">
        <f t="shared" ca="1" si="0"/>
        <v>2024Q3</v>
      </c>
      <c r="F24" s="20">
        <f t="shared" ca="1" si="3"/>
        <v>45565</v>
      </c>
      <c r="G24" s="20">
        <f t="shared" ca="1" si="4"/>
        <v>45474</v>
      </c>
    </row>
    <row r="25" spans="1:7" ht="10.5" customHeight="1" x14ac:dyDescent="0.25">
      <c r="A25" s="5"/>
      <c r="B25" s="5"/>
      <c r="C25" s="4">
        <f t="shared" si="1"/>
        <v>21</v>
      </c>
      <c r="D25" s="20">
        <f t="shared" ca="1" si="2"/>
        <v>45473</v>
      </c>
      <c r="E25" s="21" t="str">
        <f t="shared" ca="1" si="0"/>
        <v>2024Q2</v>
      </c>
      <c r="F25" s="20">
        <f t="shared" ca="1" si="3"/>
        <v>45473</v>
      </c>
      <c r="G25" s="20">
        <f t="shared" ca="1" si="4"/>
        <v>45383</v>
      </c>
    </row>
    <row r="26" spans="1:7" ht="10.5" customHeight="1" x14ac:dyDescent="0.25">
      <c r="A26" s="5"/>
      <c r="B26" s="5"/>
      <c r="C26" s="4">
        <f>C27+3</f>
        <v>18</v>
      </c>
      <c r="D26" s="20">
        <f t="shared" ca="1" si="2"/>
        <v>45381</v>
      </c>
      <c r="E26" s="21" t="str">
        <f t="shared" ca="1" si="0"/>
        <v>2024Q1</v>
      </c>
      <c r="F26" s="20">
        <f t="shared" ca="1" si="3"/>
        <v>45381</v>
      </c>
      <c r="G26" s="20">
        <f t="shared" ca="1" si="4"/>
        <v>45292</v>
      </c>
    </row>
    <row r="27" spans="1:7" ht="10.5" customHeight="1" x14ac:dyDescent="0.25">
      <c r="A27" s="5"/>
      <c r="B27" s="5"/>
      <c r="C27" s="4">
        <v>15</v>
      </c>
      <c r="D27" s="20">
        <f t="shared" ref="D27:D30" ca="1" si="5">EDATE($B$31,$C27)</f>
        <v>45290</v>
      </c>
      <c r="E27" s="21" t="str">
        <f ca="1">YEAR($D27) &amp; "Q" &amp; INT((YEARFRAC(DATE(YEAR($D27),1,1),$D27,1))*4)+1</f>
        <v>2023Q4</v>
      </c>
      <c r="F27" s="20">
        <f t="shared" ref="F27" ca="1" si="6">D27</f>
        <v>45290</v>
      </c>
      <c r="G27" s="20">
        <f t="shared" ref="G27:G52" ca="1" si="7">DATE(YEAR($D27),MONTH($D27-75),1)</f>
        <v>45200</v>
      </c>
    </row>
    <row r="28" spans="1:7" ht="10.5" customHeight="1" x14ac:dyDescent="0.25">
      <c r="A28" s="5"/>
      <c r="B28" s="5"/>
      <c r="C28" s="4">
        <v>12</v>
      </c>
      <c r="D28" s="20">
        <f t="shared" ca="1" si="5"/>
        <v>45199</v>
      </c>
      <c r="E28" s="21" t="str">
        <f ca="1">YEAR($D28) &amp; "Q" &amp; INT((YEARFRAC(DATE(YEAR($D28),1,1),$D28,1))*4)+1</f>
        <v>2023Q3</v>
      </c>
      <c r="F28" s="20">
        <f t="shared" ref="F28:F52" ca="1" si="8">D28</f>
        <v>45199</v>
      </c>
      <c r="G28" s="20">
        <f t="shared" ca="1" si="7"/>
        <v>45108</v>
      </c>
    </row>
    <row r="29" spans="1:7" ht="10.5" customHeight="1" x14ac:dyDescent="0.25">
      <c r="A29" s="3"/>
      <c r="B29" s="3"/>
      <c r="C29" s="4">
        <v>6</v>
      </c>
      <c r="D29" s="20">
        <f t="shared" ca="1" si="5"/>
        <v>45015</v>
      </c>
      <c r="E29" s="21" t="str">
        <f ca="1">YEAR($D29) &amp; "Q" &amp; INT((YEARFRAC(DATE(YEAR($D29),1,1),$D29,1))*4)+1</f>
        <v>2023Q1</v>
      </c>
      <c r="F29" s="20">
        <f t="shared" ca="1" si="8"/>
        <v>45015</v>
      </c>
      <c r="G29" s="20">
        <f t="shared" ca="1" si="7"/>
        <v>44927</v>
      </c>
    </row>
    <row r="30" spans="1:7" ht="10.5" customHeight="1" x14ac:dyDescent="0.25">
      <c r="A30" s="5"/>
      <c r="B30" s="5"/>
      <c r="C30" s="4">
        <v>3</v>
      </c>
      <c r="D30" s="20">
        <f t="shared" ca="1" si="5"/>
        <v>44925</v>
      </c>
      <c r="E30" s="21" t="str">
        <f t="shared" ca="1" si="0"/>
        <v>2022Q4</v>
      </c>
      <c r="F30" s="20">
        <f t="shared" ca="1" si="8"/>
        <v>44925</v>
      </c>
      <c r="G30" s="20">
        <f t="shared" ca="1" si="7"/>
        <v>44835</v>
      </c>
    </row>
    <row r="31" spans="1:7" ht="10.5" customHeight="1" x14ac:dyDescent="0.25">
      <c r="A31" s="3">
        <f ca="1">TODAY()</f>
        <v>44789</v>
      </c>
      <c r="B31" s="3">
        <f ca="1">DATE(YEAR($A$31),CEILING(MONTH($A$31),3)+1,DAY(0))</f>
        <v>44834</v>
      </c>
      <c r="C31" s="4">
        <v>0</v>
      </c>
      <c r="D31" s="22">
        <f ca="1">EDATE($B$31,$C31)</f>
        <v>44834</v>
      </c>
      <c r="E31" s="23" t="str">
        <f t="shared" ca="1" si="0"/>
        <v>2022Q3</v>
      </c>
      <c r="F31" s="22">
        <f t="shared" ca="1" si="8"/>
        <v>44834</v>
      </c>
      <c r="G31" s="22">
        <f t="shared" ca="1" si="7"/>
        <v>44743</v>
      </c>
    </row>
    <row r="32" spans="1:7" ht="10.5" customHeight="1" x14ac:dyDescent="0.25">
      <c r="A32" s="5"/>
      <c r="B32" s="5"/>
      <c r="C32" s="4">
        <v>-3</v>
      </c>
      <c r="D32" s="20">
        <f t="shared" ref="D32:D52" ca="1" si="9">EDATE($B$31,$C32)</f>
        <v>44742</v>
      </c>
      <c r="E32" s="21" t="str">
        <f t="shared" ca="1" si="0"/>
        <v>2022Q2</v>
      </c>
      <c r="F32" s="20">
        <f t="shared" ca="1" si="8"/>
        <v>44742</v>
      </c>
      <c r="G32" s="20">
        <f t="shared" ca="1" si="7"/>
        <v>44652</v>
      </c>
    </row>
    <row r="33" spans="1:7" ht="10.5" customHeight="1" x14ac:dyDescent="0.25">
      <c r="A33" s="5"/>
      <c r="B33" s="5"/>
      <c r="C33" s="4">
        <v>-6</v>
      </c>
      <c r="D33" s="20">
        <f t="shared" ca="1" si="9"/>
        <v>44650</v>
      </c>
      <c r="E33" s="21" t="str">
        <f t="shared" ca="1" si="0"/>
        <v>2022Q1</v>
      </c>
      <c r="F33" s="20">
        <f t="shared" ca="1" si="8"/>
        <v>44650</v>
      </c>
      <c r="G33" s="20">
        <f t="shared" ca="1" si="7"/>
        <v>44562</v>
      </c>
    </row>
    <row r="34" spans="1:7" ht="10.5" customHeight="1" x14ac:dyDescent="0.25">
      <c r="A34" s="5"/>
      <c r="B34" s="5"/>
      <c r="C34" s="4">
        <v>-9</v>
      </c>
      <c r="D34" s="20">
        <f t="shared" ca="1" si="9"/>
        <v>44560</v>
      </c>
      <c r="E34" s="21" t="str">
        <f t="shared" ca="1" si="0"/>
        <v>2021Q4</v>
      </c>
      <c r="F34" s="20">
        <f t="shared" ca="1" si="8"/>
        <v>44560</v>
      </c>
      <c r="G34" s="20">
        <f t="shared" ca="1" si="7"/>
        <v>44470</v>
      </c>
    </row>
    <row r="35" spans="1:7" ht="10.5" customHeight="1" x14ac:dyDescent="0.25">
      <c r="A35" s="5"/>
      <c r="B35" s="5"/>
      <c r="C35" s="4">
        <v>-12</v>
      </c>
      <c r="D35" s="20">
        <f t="shared" ca="1" si="9"/>
        <v>44469</v>
      </c>
      <c r="E35" s="21" t="str">
        <f t="shared" ca="1" si="0"/>
        <v>2021Q3</v>
      </c>
      <c r="F35" s="20">
        <f t="shared" ca="1" si="8"/>
        <v>44469</v>
      </c>
      <c r="G35" s="20">
        <f t="shared" ca="1" si="7"/>
        <v>44378</v>
      </c>
    </row>
    <row r="36" spans="1:7" ht="10.5" customHeight="1" x14ac:dyDescent="0.25">
      <c r="A36" s="5"/>
      <c r="B36" s="5"/>
      <c r="C36" s="4">
        <v>-15</v>
      </c>
      <c r="D36" s="20">
        <f t="shared" ca="1" si="9"/>
        <v>44377</v>
      </c>
      <c r="E36" s="21" t="str">
        <f t="shared" ca="1" si="0"/>
        <v>2021Q2</v>
      </c>
      <c r="F36" s="20">
        <f t="shared" ca="1" si="8"/>
        <v>44377</v>
      </c>
      <c r="G36" s="20">
        <f t="shared" ca="1" si="7"/>
        <v>44287</v>
      </c>
    </row>
    <row r="37" spans="1:7" ht="10.5" customHeight="1" x14ac:dyDescent="0.25">
      <c r="A37" s="5"/>
      <c r="B37" s="5"/>
      <c r="C37" s="4">
        <v>-18</v>
      </c>
      <c r="D37" s="20">
        <f t="shared" ca="1" si="9"/>
        <v>44285</v>
      </c>
      <c r="E37" s="21" t="str">
        <f t="shared" ca="1" si="0"/>
        <v>2021Q1</v>
      </c>
      <c r="F37" s="20">
        <f t="shared" ca="1" si="8"/>
        <v>44285</v>
      </c>
      <c r="G37" s="20">
        <f t="shared" ca="1" si="7"/>
        <v>44197</v>
      </c>
    </row>
    <row r="38" spans="1:7" ht="10.5" customHeight="1" x14ac:dyDescent="0.25">
      <c r="A38" s="5"/>
      <c r="B38" s="5"/>
      <c r="C38" s="4">
        <v>-21</v>
      </c>
      <c r="D38" s="20">
        <f t="shared" ca="1" si="9"/>
        <v>44195</v>
      </c>
      <c r="E38" s="21" t="str">
        <f t="shared" ca="1" si="0"/>
        <v>2020Q4</v>
      </c>
      <c r="F38" s="20">
        <f t="shared" ca="1" si="8"/>
        <v>44195</v>
      </c>
      <c r="G38" s="20">
        <f t="shared" ca="1" si="7"/>
        <v>44105</v>
      </c>
    </row>
    <row r="39" spans="1:7" ht="10.5" customHeight="1" x14ac:dyDescent="0.25">
      <c r="A39" s="5"/>
      <c r="B39" s="5"/>
      <c r="C39" s="4">
        <v>-24</v>
      </c>
      <c r="D39" s="20">
        <f t="shared" ca="1" si="9"/>
        <v>44104</v>
      </c>
      <c r="E39" s="21" t="str">
        <f t="shared" ca="1" si="0"/>
        <v>2020Q3</v>
      </c>
      <c r="F39" s="20">
        <f t="shared" ca="1" si="8"/>
        <v>44104</v>
      </c>
      <c r="G39" s="20">
        <f t="shared" ca="1" si="7"/>
        <v>44013</v>
      </c>
    </row>
    <row r="40" spans="1:7" ht="10.5" customHeight="1" x14ac:dyDescent="0.25">
      <c r="A40" s="5"/>
      <c r="B40" s="5"/>
      <c r="C40" s="4">
        <v>-27</v>
      </c>
      <c r="D40" s="20">
        <f t="shared" ca="1" si="9"/>
        <v>44012</v>
      </c>
      <c r="E40" s="21" t="str">
        <f t="shared" ca="1" si="0"/>
        <v>2020Q2</v>
      </c>
      <c r="F40" s="20">
        <f t="shared" ca="1" si="8"/>
        <v>44012</v>
      </c>
      <c r="G40" s="20">
        <f t="shared" ca="1" si="7"/>
        <v>43922</v>
      </c>
    </row>
    <row r="41" spans="1:7" ht="10.5" customHeight="1" x14ac:dyDescent="0.25">
      <c r="A41" s="5"/>
      <c r="B41" s="5"/>
      <c r="C41" s="4">
        <v>-30</v>
      </c>
      <c r="D41" s="20">
        <f t="shared" ca="1" si="9"/>
        <v>43920</v>
      </c>
      <c r="E41" s="21" t="str">
        <f t="shared" ca="1" si="0"/>
        <v>2020Q1</v>
      </c>
      <c r="F41" s="20">
        <f t="shared" ca="1" si="8"/>
        <v>43920</v>
      </c>
      <c r="G41" s="20">
        <f t="shared" ca="1" si="7"/>
        <v>43831</v>
      </c>
    </row>
    <row r="42" spans="1:7" ht="10.5" customHeight="1" x14ac:dyDescent="0.25">
      <c r="A42" s="5"/>
      <c r="B42" s="5"/>
      <c r="C42" s="4">
        <v>-33</v>
      </c>
      <c r="D42" s="20">
        <f t="shared" ca="1" si="9"/>
        <v>43829</v>
      </c>
      <c r="E42" s="21" t="str">
        <f t="shared" ca="1" si="0"/>
        <v>2019Q4</v>
      </c>
      <c r="F42" s="20">
        <f t="shared" ca="1" si="8"/>
        <v>43829</v>
      </c>
      <c r="G42" s="20">
        <f t="shared" ca="1" si="7"/>
        <v>43739</v>
      </c>
    </row>
    <row r="43" spans="1:7" ht="10.5" customHeight="1" x14ac:dyDescent="0.25">
      <c r="A43" s="5"/>
      <c r="B43" s="5"/>
      <c r="C43" s="4">
        <v>-36</v>
      </c>
      <c r="D43" s="20">
        <f t="shared" ca="1" si="9"/>
        <v>43738</v>
      </c>
      <c r="E43" s="21" t="str">
        <f t="shared" ca="1" si="0"/>
        <v>2019Q3</v>
      </c>
      <c r="F43" s="20">
        <f t="shared" ca="1" si="8"/>
        <v>43738</v>
      </c>
      <c r="G43" s="20">
        <f t="shared" ca="1" si="7"/>
        <v>43647</v>
      </c>
    </row>
    <row r="44" spans="1:7" ht="10.5" customHeight="1" x14ac:dyDescent="0.25">
      <c r="A44" s="5"/>
      <c r="B44" s="5"/>
      <c r="C44" s="4">
        <v>-39</v>
      </c>
      <c r="D44" s="20">
        <f t="shared" ca="1" si="9"/>
        <v>43646</v>
      </c>
      <c r="E44" s="21" t="str">
        <f t="shared" ca="1" si="0"/>
        <v>2019Q2</v>
      </c>
      <c r="F44" s="20">
        <f t="shared" ca="1" si="8"/>
        <v>43646</v>
      </c>
      <c r="G44" s="20">
        <f t="shared" ca="1" si="7"/>
        <v>43556</v>
      </c>
    </row>
    <row r="45" spans="1:7" ht="10.5" customHeight="1" x14ac:dyDescent="0.25">
      <c r="A45" s="5"/>
      <c r="B45" s="5"/>
      <c r="C45" s="4">
        <v>-42</v>
      </c>
      <c r="D45" s="20">
        <f t="shared" ca="1" si="9"/>
        <v>43554</v>
      </c>
      <c r="E45" s="21" t="str">
        <f t="shared" ca="1" si="0"/>
        <v>2019Q1</v>
      </c>
      <c r="F45" s="20">
        <f t="shared" ca="1" si="8"/>
        <v>43554</v>
      </c>
      <c r="G45" s="20">
        <f t="shared" ca="1" si="7"/>
        <v>43466</v>
      </c>
    </row>
    <row r="46" spans="1:7" ht="10.5" customHeight="1" x14ac:dyDescent="0.25">
      <c r="A46" s="5"/>
      <c r="B46" s="5"/>
      <c r="C46" s="4">
        <v>-45</v>
      </c>
      <c r="D46" s="20">
        <f t="shared" ca="1" si="9"/>
        <v>43464</v>
      </c>
      <c r="E46" s="21" t="str">
        <f t="shared" ca="1" si="0"/>
        <v>2018Q4</v>
      </c>
      <c r="F46" s="20">
        <f t="shared" ca="1" si="8"/>
        <v>43464</v>
      </c>
      <c r="G46" s="20">
        <f t="shared" ca="1" si="7"/>
        <v>43374</v>
      </c>
    </row>
    <row r="47" spans="1:7" ht="10.5" customHeight="1" x14ac:dyDescent="0.25">
      <c r="A47" s="5"/>
      <c r="B47" s="5"/>
      <c r="C47" s="4">
        <v>-48</v>
      </c>
      <c r="D47" s="20">
        <f t="shared" ca="1" si="9"/>
        <v>43373</v>
      </c>
      <c r="E47" s="21" t="str">
        <f t="shared" ca="1" si="0"/>
        <v>2018Q3</v>
      </c>
      <c r="F47" s="20">
        <f t="shared" ca="1" si="8"/>
        <v>43373</v>
      </c>
      <c r="G47" s="20">
        <f t="shared" ca="1" si="7"/>
        <v>43282</v>
      </c>
    </row>
    <row r="48" spans="1:7" ht="10.5" customHeight="1" x14ac:dyDescent="0.25">
      <c r="A48" s="5"/>
      <c r="B48" s="5"/>
      <c r="C48" s="4">
        <v>-51</v>
      </c>
      <c r="D48" s="20">
        <f t="shared" ca="1" si="9"/>
        <v>43281</v>
      </c>
      <c r="E48" s="21" t="str">
        <f t="shared" ca="1" si="0"/>
        <v>2018Q2</v>
      </c>
      <c r="F48" s="20">
        <f t="shared" ca="1" si="8"/>
        <v>43281</v>
      </c>
      <c r="G48" s="20">
        <f t="shared" ca="1" si="7"/>
        <v>43191</v>
      </c>
    </row>
    <row r="49" spans="1:7" ht="10.5" customHeight="1" x14ac:dyDescent="0.25">
      <c r="A49" s="5"/>
      <c r="B49" s="5"/>
      <c r="C49" s="4">
        <v>-54</v>
      </c>
      <c r="D49" s="20">
        <f t="shared" ca="1" si="9"/>
        <v>43189</v>
      </c>
      <c r="E49" s="21" t="str">
        <f t="shared" ca="1" si="0"/>
        <v>2018Q1</v>
      </c>
      <c r="F49" s="20">
        <f t="shared" ca="1" si="8"/>
        <v>43189</v>
      </c>
      <c r="G49" s="20">
        <f t="shared" ca="1" si="7"/>
        <v>43101</v>
      </c>
    </row>
    <row r="50" spans="1:7" ht="10.5" customHeight="1" x14ac:dyDescent="0.25">
      <c r="A50" s="5"/>
      <c r="B50" s="5"/>
      <c r="C50" s="4">
        <v>-57</v>
      </c>
      <c r="D50" s="20">
        <f t="shared" ca="1" si="9"/>
        <v>43099</v>
      </c>
      <c r="E50" s="21" t="str">
        <f t="shared" ca="1" si="0"/>
        <v>2017Q4</v>
      </c>
      <c r="F50" s="20">
        <f t="shared" ca="1" si="8"/>
        <v>43099</v>
      </c>
      <c r="G50" s="20">
        <f t="shared" ca="1" si="7"/>
        <v>43009</v>
      </c>
    </row>
    <row r="51" spans="1:7" ht="10.5" customHeight="1" x14ac:dyDescent="0.25">
      <c r="A51" s="5"/>
      <c r="B51" s="5"/>
      <c r="C51" s="4">
        <v>-60</v>
      </c>
      <c r="D51" s="20">
        <f t="shared" ca="1" si="9"/>
        <v>43008</v>
      </c>
      <c r="E51" s="21" t="str">
        <f t="shared" ca="1" si="0"/>
        <v>2017Q3</v>
      </c>
      <c r="F51" s="20">
        <f t="shared" ca="1" si="8"/>
        <v>43008</v>
      </c>
      <c r="G51" s="20">
        <f t="shared" ca="1" si="7"/>
        <v>42917</v>
      </c>
    </row>
    <row r="52" spans="1:7" ht="10.5" customHeight="1" x14ac:dyDescent="0.25">
      <c r="A52" s="5"/>
      <c r="B52" s="5"/>
      <c r="C52" s="4">
        <v>-63</v>
      </c>
      <c r="D52" s="20">
        <f t="shared" ca="1" si="9"/>
        <v>42916</v>
      </c>
      <c r="E52" s="21" t="str">
        <f t="shared" ca="1" si="0"/>
        <v>2017Q2</v>
      </c>
      <c r="F52" s="20">
        <f t="shared" ca="1" si="8"/>
        <v>42916</v>
      </c>
      <c r="G52" s="20">
        <f t="shared" ca="1" si="7"/>
        <v>42826</v>
      </c>
    </row>
    <row r="53" spans="1:7" ht="10.5" customHeight="1" x14ac:dyDescent="0.25">
      <c r="A53" s="5"/>
      <c r="B53" s="5"/>
      <c r="C53" s="4">
        <v>-66</v>
      </c>
      <c r="D53" s="20">
        <f t="shared" ref="D53:D71" ca="1" si="10">EDATE($B$31,$C53)</f>
        <v>42824</v>
      </c>
      <c r="E53" s="21" t="str">
        <f t="shared" ref="E53:E71" ca="1" si="11">YEAR($D53) &amp; "Q" &amp; INT((YEARFRAC(DATE(YEAR($D53),1,1),$D53,1))*4)+1</f>
        <v>2017Q1</v>
      </c>
      <c r="F53" s="20">
        <f t="shared" ref="F53:F71" ca="1" si="12">D53</f>
        <v>42824</v>
      </c>
      <c r="G53" s="20">
        <f t="shared" ref="G53:G71" ca="1" si="13">DATE(YEAR($D53),MONTH($D53-75),1)</f>
        <v>42736</v>
      </c>
    </row>
    <row r="54" spans="1:7" ht="10.5" customHeight="1" x14ac:dyDescent="0.25">
      <c r="A54" s="5"/>
      <c r="B54" s="5"/>
      <c r="C54" s="4">
        <v>-69</v>
      </c>
      <c r="D54" s="20">
        <f t="shared" ca="1" si="10"/>
        <v>42734</v>
      </c>
      <c r="E54" s="21" t="str">
        <f t="shared" ca="1" si="11"/>
        <v>2016Q4</v>
      </c>
      <c r="F54" s="20">
        <f t="shared" ca="1" si="12"/>
        <v>42734</v>
      </c>
      <c r="G54" s="20">
        <f t="shared" ca="1" si="13"/>
        <v>42644</v>
      </c>
    </row>
    <row r="55" spans="1:7" ht="10.5" customHeight="1" x14ac:dyDescent="0.25">
      <c r="A55" s="5"/>
      <c r="B55" s="5"/>
      <c r="C55" s="4">
        <v>-72</v>
      </c>
      <c r="D55" s="20">
        <f t="shared" ca="1" si="10"/>
        <v>42643</v>
      </c>
      <c r="E55" s="21" t="str">
        <f t="shared" ca="1" si="11"/>
        <v>2016Q3</v>
      </c>
      <c r="F55" s="20">
        <f t="shared" ca="1" si="12"/>
        <v>42643</v>
      </c>
      <c r="G55" s="20">
        <f t="shared" ca="1" si="13"/>
        <v>42552</v>
      </c>
    </row>
    <row r="56" spans="1:7" ht="10.5" customHeight="1" x14ac:dyDescent="0.25">
      <c r="A56" s="5"/>
      <c r="B56" s="5"/>
      <c r="C56" s="4">
        <v>-75</v>
      </c>
      <c r="D56" s="20">
        <f t="shared" ca="1" si="10"/>
        <v>42551</v>
      </c>
      <c r="E56" s="21" t="str">
        <f t="shared" ca="1" si="11"/>
        <v>2016Q2</v>
      </c>
      <c r="F56" s="20">
        <f t="shared" ca="1" si="12"/>
        <v>42551</v>
      </c>
      <c r="G56" s="20">
        <f t="shared" ca="1" si="13"/>
        <v>42461</v>
      </c>
    </row>
    <row r="57" spans="1:7" ht="10.5" customHeight="1" x14ac:dyDescent="0.25">
      <c r="A57" s="5"/>
      <c r="B57" s="5"/>
      <c r="C57" s="4">
        <v>-78</v>
      </c>
      <c r="D57" s="20">
        <f t="shared" ca="1" si="10"/>
        <v>42459</v>
      </c>
      <c r="E57" s="21" t="str">
        <f t="shared" ca="1" si="11"/>
        <v>2016Q1</v>
      </c>
      <c r="F57" s="20">
        <f t="shared" ca="1" si="12"/>
        <v>42459</v>
      </c>
      <c r="G57" s="20">
        <f t="shared" ca="1" si="13"/>
        <v>42370</v>
      </c>
    </row>
    <row r="58" spans="1:7" ht="10.5" customHeight="1" x14ac:dyDescent="0.25">
      <c r="A58" s="5"/>
      <c r="B58" s="5"/>
      <c r="C58" s="4">
        <v>-81</v>
      </c>
      <c r="D58" s="20">
        <f t="shared" ca="1" si="10"/>
        <v>42368</v>
      </c>
      <c r="E58" s="21" t="str">
        <f t="shared" ca="1" si="11"/>
        <v>2015Q4</v>
      </c>
      <c r="F58" s="20">
        <f t="shared" ca="1" si="12"/>
        <v>42368</v>
      </c>
      <c r="G58" s="20">
        <f t="shared" ca="1" si="13"/>
        <v>42278</v>
      </c>
    </row>
    <row r="59" spans="1:7" ht="10.5" customHeight="1" x14ac:dyDescent="0.25">
      <c r="A59" s="5"/>
      <c r="B59" s="5"/>
      <c r="C59" s="4">
        <v>-84</v>
      </c>
      <c r="D59" s="20">
        <f t="shared" ca="1" si="10"/>
        <v>42277</v>
      </c>
      <c r="E59" s="21" t="str">
        <f t="shared" ca="1" si="11"/>
        <v>2015Q3</v>
      </c>
      <c r="F59" s="20">
        <f t="shared" ca="1" si="12"/>
        <v>42277</v>
      </c>
      <c r="G59" s="20">
        <f t="shared" ca="1" si="13"/>
        <v>42186</v>
      </c>
    </row>
    <row r="60" spans="1:7" ht="10.5" customHeight="1" x14ac:dyDescent="0.25">
      <c r="A60" s="5"/>
      <c r="B60" s="5"/>
      <c r="C60" s="4">
        <v>-87</v>
      </c>
      <c r="D60" s="20">
        <f t="shared" ca="1" si="10"/>
        <v>42185</v>
      </c>
      <c r="E60" s="21" t="str">
        <f t="shared" ca="1" si="11"/>
        <v>2015Q2</v>
      </c>
      <c r="F60" s="20">
        <f t="shared" ca="1" si="12"/>
        <v>42185</v>
      </c>
      <c r="G60" s="20">
        <f t="shared" ca="1" si="13"/>
        <v>42095</v>
      </c>
    </row>
    <row r="61" spans="1:7" ht="10.5" customHeight="1" x14ac:dyDescent="0.25">
      <c r="A61" s="5"/>
      <c r="B61" s="5"/>
      <c r="C61" s="4">
        <v>-90</v>
      </c>
      <c r="D61" s="20">
        <f t="shared" ca="1" si="10"/>
        <v>42093</v>
      </c>
      <c r="E61" s="21" t="str">
        <f t="shared" ca="1" si="11"/>
        <v>2015Q1</v>
      </c>
      <c r="F61" s="20">
        <f t="shared" ca="1" si="12"/>
        <v>42093</v>
      </c>
      <c r="G61" s="20">
        <f t="shared" ca="1" si="13"/>
        <v>42005</v>
      </c>
    </row>
    <row r="62" spans="1:7" ht="10.5" customHeight="1" x14ac:dyDescent="0.25">
      <c r="A62" s="5"/>
      <c r="B62" s="5"/>
      <c r="C62" s="4">
        <v>-93</v>
      </c>
      <c r="D62" s="20">
        <f t="shared" ca="1" si="10"/>
        <v>42003</v>
      </c>
      <c r="E62" s="21" t="str">
        <f t="shared" ca="1" si="11"/>
        <v>2014Q4</v>
      </c>
      <c r="F62" s="20">
        <f t="shared" ca="1" si="12"/>
        <v>42003</v>
      </c>
      <c r="G62" s="20">
        <f t="shared" ca="1" si="13"/>
        <v>41913</v>
      </c>
    </row>
    <row r="63" spans="1:7" ht="10.5" customHeight="1" x14ac:dyDescent="0.25">
      <c r="A63" s="5"/>
      <c r="B63" s="5"/>
      <c r="C63" s="4">
        <v>-96</v>
      </c>
      <c r="D63" s="20">
        <f t="shared" ca="1" si="10"/>
        <v>41912</v>
      </c>
      <c r="E63" s="21" t="str">
        <f t="shared" ca="1" si="11"/>
        <v>2014Q3</v>
      </c>
      <c r="F63" s="20">
        <f t="shared" ca="1" si="12"/>
        <v>41912</v>
      </c>
      <c r="G63" s="20">
        <f t="shared" ca="1" si="13"/>
        <v>41821</v>
      </c>
    </row>
    <row r="64" spans="1:7" ht="10.5" customHeight="1" x14ac:dyDescent="0.25">
      <c r="A64" s="5"/>
      <c r="B64" s="5"/>
      <c r="C64" s="4">
        <v>-99</v>
      </c>
      <c r="D64" s="20">
        <f t="shared" ca="1" si="10"/>
        <v>41820</v>
      </c>
      <c r="E64" s="21" t="str">
        <f t="shared" ca="1" si="11"/>
        <v>2014Q2</v>
      </c>
      <c r="F64" s="20">
        <f t="shared" ca="1" si="12"/>
        <v>41820</v>
      </c>
      <c r="G64" s="20">
        <f t="shared" ca="1" si="13"/>
        <v>41730</v>
      </c>
    </row>
    <row r="65" spans="1:7" ht="10.5" customHeight="1" x14ac:dyDescent="0.25">
      <c r="A65" s="5"/>
      <c r="B65" s="5"/>
      <c r="C65" s="4">
        <v>-102</v>
      </c>
      <c r="D65" s="20">
        <f t="shared" ca="1" si="10"/>
        <v>41728</v>
      </c>
      <c r="E65" s="21" t="str">
        <f t="shared" ca="1" si="11"/>
        <v>2014Q1</v>
      </c>
      <c r="F65" s="20">
        <f t="shared" ca="1" si="12"/>
        <v>41728</v>
      </c>
      <c r="G65" s="20">
        <f t="shared" ca="1" si="13"/>
        <v>41640</v>
      </c>
    </row>
    <row r="66" spans="1:7" ht="10.5" customHeight="1" x14ac:dyDescent="0.25">
      <c r="A66" s="5"/>
      <c r="B66" s="5"/>
      <c r="C66" s="4">
        <v>-105</v>
      </c>
      <c r="D66" s="20">
        <f t="shared" ca="1" si="10"/>
        <v>41638</v>
      </c>
      <c r="E66" s="21" t="str">
        <f t="shared" ca="1" si="11"/>
        <v>2013Q4</v>
      </c>
      <c r="F66" s="20">
        <f t="shared" ca="1" si="12"/>
        <v>41638</v>
      </c>
      <c r="G66" s="20">
        <f t="shared" ca="1" si="13"/>
        <v>41548</v>
      </c>
    </row>
    <row r="67" spans="1:7" ht="10.5" customHeight="1" x14ac:dyDescent="0.25">
      <c r="A67" s="5"/>
      <c r="B67" s="5"/>
      <c r="C67" s="4">
        <v>-108</v>
      </c>
      <c r="D67" s="20">
        <f t="shared" ca="1" si="10"/>
        <v>41547</v>
      </c>
      <c r="E67" s="21" t="str">
        <f t="shared" ca="1" si="11"/>
        <v>2013Q3</v>
      </c>
      <c r="F67" s="20">
        <f t="shared" ca="1" si="12"/>
        <v>41547</v>
      </c>
      <c r="G67" s="20">
        <f t="shared" ca="1" si="13"/>
        <v>41456</v>
      </c>
    </row>
    <row r="68" spans="1:7" ht="10.5" customHeight="1" x14ac:dyDescent="0.25">
      <c r="A68" s="5"/>
      <c r="B68" s="5"/>
      <c r="C68" s="4">
        <v>-111</v>
      </c>
      <c r="D68" s="20">
        <f t="shared" ca="1" si="10"/>
        <v>41455</v>
      </c>
      <c r="E68" s="21" t="str">
        <f t="shared" ca="1" si="11"/>
        <v>2013Q2</v>
      </c>
      <c r="F68" s="20">
        <f t="shared" ca="1" si="12"/>
        <v>41455</v>
      </c>
      <c r="G68" s="20">
        <f t="shared" ca="1" si="13"/>
        <v>41365</v>
      </c>
    </row>
    <row r="69" spans="1:7" ht="10.5" customHeight="1" x14ac:dyDescent="0.25">
      <c r="A69" s="5"/>
      <c r="B69" s="5"/>
      <c r="C69" s="4">
        <v>-114</v>
      </c>
      <c r="D69" s="20">
        <f t="shared" ca="1" si="10"/>
        <v>41363</v>
      </c>
      <c r="E69" s="21" t="str">
        <f t="shared" ca="1" si="11"/>
        <v>2013Q1</v>
      </c>
      <c r="F69" s="20">
        <f t="shared" ca="1" si="12"/>
        <v>41363</v>
      </c>
      <c r="G69" s="20">
        <f t="shared" ca="1" si="13"/>
        <v>41275</v>
      </c>
    </row>
    <row r="70" spans="1:7" ht="10.5" customHeight="1" x14ac:dyDescent="0.25">
      <c r="A70" s="5"/>
      <c r="B70" s="5"/>
      <c r="C70" s="4">
        <v>-117</v>
      </c>
      <c r="D70" s="20">
        <f t="shared" ca="1" si="10"/>
        <v>41273</v>
      </c>
      <c r="E70" s="21" t="str">
        <f t="shared" ca="1" si="11"/>
        <v>2012Q4</v>
      </c>
      <c r="F70" s="20">
        <f t="shared" ca="1" si="12"/>
        <v>41273</v>
      </c>
      <c r="G70" s="20">
        <f t="shared" ca="1" si="13"/>
        <v>41183</v>
      </c>
    </row>
    <row r="71" spans="1:7" ht="10.5" customHeight="1" x14ac:dyDescent="0.25">
      <c r="A71" s="5"/>
      <c r="B71" s="5"/>
      <c r="C71" s="4">
        <v>-120</v>
      </c>
      <c r="D71" s="20">
        <f t="shared" ca="1" si="10"/>
        <v>41182</v>
      </c>
      <c r="E71" s="21" t="str">
        <f t="shared" ca="1" si="11"/>
        <v>2012Q3</v>
      </c>
      <c r="F71" s="20">
        <f t="shared" ca="1" si="12"/>
        <v>41182</v>
      </c>
      <c r="G71" s="20">
        <f t="shared" ca="1" si="13"/>
        <v>41091</v>
      </c>
    </row>
    <row r="72" spans="1:7" ht="9.75" customHeight="1" x14ac:dyDescent="0.25">
      <c r="A72" s="5"/>
      <c r="B72" s="5"/>
      <c r="C72" s="4">
        <f>C71-3</f>
        <v>-123</v>
      </c>
      <c r="D72" s="20">
        <f t="shared" ref="D72:D85" ca="1" si="14">EDATE($B$31,$C72)</f>
        <v>41090</v>
      </c>
      <c r="E72" s="21" t="str">
        <f t="shared" ref="E72:E85" ca="1" si="15">YEAR($D72) &amp; "Q" &amp; INT((YEARFRAC(DATE(YEAR($D72),1,1),$D72,1))*4)+1</f>
        <v>2012Q2</v>
      </c>
      <c r="F72" s="20">
        <f t="shared" ref="F72:F84" ca="1" si="16">D72</f>
        <v>41090</v>
      </c>
      <c r="G72" s="20">
        <f t="shared" ref="G72:G85" ca="1" si="17">DATE(YEAR($D72),MONTH($D72-75),1)</f>
        <v>41000</v>
      </c>
    </row>
    <row r="73" spans="1:7" ht="10.5" customHeight="1" x14ac:dyDescent="0.25">
      <c r="A73" s="5"/>
      <c r="B73" s="5"/>
      <c r="C73" s="4">
        <f t="shared" ref="C73:C85" si="18">C72-3</f>
        <v>-126</v>
      </c>
      <c r="D73" s="20">
        <f t="shared" ca="1" si="14"/>
        <v>40998</v>
      </c>
      <c r="E73" s="21" t="str">
        <f t="shared" ca="1" si="15"/>
        <v>2012Q1</v>
      </c>
      <c r="F73" s="20">
        <f t="shared" ca="1" si="16"/>
        <v>40998</v>
      </c>
      <c r="G73" s="20">
        <f t="shared" ca="1" si="17"/>
        <v>40909</v>
      </c>
    </row>
    <row r="74" spans="1:7" ht="10.5" customHeight="1" x14ac:dyDescent="0.25">
      <c r="A74" s="5"/>
      <c r="B74" s="5"/>
      <c r="C74" s="4">
        <f t="shared" si="18"/>
        <v>-129</v>
      </c>
      <c r="D74" s="20">
        <f t="shared" ca="1" si="14"/>
        <v>40907</v>
      </c>
      <c r="E74" s="21" t="str">
        <f t="shared" ca="1" si="15"/>
        <v>2011Q4</v>
      </c>
      <c r="F74" s="20">
        <f t="shared" ca="1" si="16"/>
        <v>40907</v>
      </c>
      <c r="G74" s="20">
        <f t="shared" ca="1" si="17"/>
        <v>40817</v>
      </c>
    </row>
    <row r="75" spans="1:7" ht="10.5" customHeight="1" x14ac:dyDescent="0.25">
      <c r="A75" s="5"/>
      <c r="B75" s="5"/>
      <c r="C75" s="4">
        <f t="shared" si="18"/>
        <v>-132</v>
      </c>
      <c r="D75" s="20">
        <f t="shared" ca="1" si="14"/>
        <v>40816</v>
      </c>
      <c r="E75" s="21" t="str">
        <f t="shared" ca="1" si="15"/>
        <v>2011Q3</v>
      </c>
      <c r="F75" s="20">
        <f t="shared" ca="1" si="16"/>
        <v>40816</v>
      </c>
      <c r="G75" s="20">
        <f t="shared" ca="1" si="17"/>
        <v>40725</v>
      </c>
    </row>
    <row r="76" spans="1:7" ht="10.5" customHeight="1" x14ac:dyDescent="0.25">
      <c r="A76" s="5"/>
      <c r="B76" s="5"/>
      <c r="C76" s="4">
        <f t="shared" si="18"/>
        <v>-135</v>
      </c>
      <c r="D76" s="20">
        <f t="shared" ca="1" si="14"/>
        <v>40724</v>
      </c>
      <c r="E76" s="21" t="str">
        <f t="shared" ca="1" si="15"/>
        <v>2011Q2</v>
      </c>
      <c r="F76" s="20">
        <f t="shared" ca="1" si="16"/>
        <v>40724</v>
      </c>
      <c r="G76" s="20">
        <f t="shared" ca="1" si="17"/>
        <v>40634</v>
      </c>
    </row>
    <row r="77" spans="1:7" ht="10.5" customHeight="1" x14ac:dyDescent="0.25">
      <c r="A77" s="5"/>
      <c r="B77" s="5"/>
      <c r="C77" s="4">
        <f t="shared" si="18"/>
        <v>-138</v>
      </c>
      <c r="D77" s="20">
        <f t="shared" ca="1" si="14"/>
        <v>40632</v>
      </c>
      <c r="E77" s="21" t="str">
        <f t="shared" ca="1" si="15"/>
        <v>2011Q1</v>
      </c>
      <c r="F77" s="20">
        <f t="shared" ca="1" si="16"/>
        <v>40632</v>
      </c>
      <c r="G77" s="20">
        <f t="shared" ca="1" si="17"/>
        <v>40544</v>
      </c>
    </row>
    <row r="78" spans="1:7" ht="10.5" customHeight="1" x14ac:dyDescent="0.25">
      <c r="A78" s="5"/>
      <c r="B78" s="5"/>
      <c r="C78" s="4">
        <f t="shared" si="18"/>
        <v>-141</v>
      </c>
      <c r="D78" s="20">
        <f t="shared" ca="1" si="14"/>
        <v>40542</v>
      </c>
      <c r="E78" s="21" t="str">
        <f t="shared" ca="1" si="15"/>
        <v>2010Q4</v>
      </c>
      <c r="F78" s="20">
        <f t="shared" ca="1" si="16"/>
        <v>40542</v>
      </c>
      <c r="G78" s="20">
        <f t="shared" ca="1" si="17"/>
        <v>40452</v>
      </c>
    </row>
    <row r="79" spans="1:7" ht="10.5" customHeight="1" x14ac:dyDescent="0.25">
      <c r="A79" s="5"/>
      <c r="B79" s="5"/>
      <c r="C79" s="4">
        <f t="shared" si="18"/>
        <v>-144</v>
      </c>
      <c r="D79" s="20">
        <f t="shared" ca="1" si="14"/>
        <v>40451</v>
      </c>
      <c r="E79" s="21" t="str">
        <f t="shared" ca="1" si="15"/>
        <v>2010Q3</v>
      </c>
      <c r="F79" s="20">
        <f t="shared" ca="1" si="16"/>
        <v>40451</v>
      </c>
      <c r="G79" s="20">
        <f t="shared" ca="1" si="17"/>
        <v>40360</v>
      </c>
    </row>
    <row r="80" spans="1:7" ht="10.5" customHeight="1" x14ac:dyDescent="0.25">
      <c r="A80" s="5"/>
      <c r="B80" s="5"/>
      <c r="C80" s="4">
        <f t="shared" si="18"/>
        <v>-147</v>
      </c>
      <c r="D80" s="20">
        <f t="shared" ca="1" si="14"/>
        <v>40359</v>
      </c>
      <c r="E80" s="21" t="str">
        <f t="shared" ca="1" si="15"/>
        <v>2010Q2</v>
      </c>
      <c r="F80" s="20">
        <f t="shared" ca="1" si="16"/>
        <v>40359</v>
      </c>
      <c r="G80" s="20">
        <f t="shared" ca="1" si="17"/>
        <v>40269</v>
      </c>
    </row>
    <row r="81" spans="1:7" ht="10.5" customHeight="1" x14ac:dyDescent="0.25">
      <c r="A81" s="5"/>
      <c r="B81" s="5"/>
      <c r="C81" s="4">
        <f t="shared" si="18"/>
        <v>-150</v>
      </c>
      <c r="D81" s="20">
        <f t="shared" ca="1" si="14"/>
        <v>40267</v>
      </c>
      <c r="E81" s="21" t="str">
        <f t="shared" ca="1" si="15"/>
        <v>2010Q1</v>
      </c>
      <c r="F81" s="20">
        <f t="shared" ca="1" si="16"/>
        <v>40267</v>
      </c>
      <c r="G81" s="20">
        <f t="shared" ca="1" si="17"/>
        <v>40179</v>
      </c>
    </row>
    <row r="82" spans="1:7" ht="10.5" customHeight="1" x14ac:dyDescent="0.25">
      <c r="A82" s="5"/>
      <c r="B82" s="5"/>
      <c r="C82" s="4">
        <f t="shared" si="18"/>
        <v>-153</v>
      </c>
      <c r="D82" s="20">
        <f t="shared" ca="1" si="14"/>
        <v>40177</v>
      </c>
      <c r="E82" s="21" t="str">
        <f t="shared" ca="1" si="15"/>
        <v>2009Q4</v>
      </c>
      <c r="F82" s="20">
        <f t="shared" ca="1" si="16"/>
        <v>40177</v>
      </c>
      <c r="G82" s="20">
        <f t="shared" ca="1" si="17"/>
        <v>40087</v>
      </c>
    </row>
    <row r="83" spans="1:7" ht="10.5" customHeight="1" x14ac:dyDescent="0.25">
      <c r="A83" s="5"/>
      <c r="B83" s="5"/>
      <c r="C83" s="4">
        <f t="shared" si="18"/>
        <v>-156</v>
      </c>
      <c r="D83" s="20">
        <f t="shared" ca="1" si="14"/>
        <v>40086</v>
      </c>
      <c r="E83" s="21" t="str">
        <f t="shared" ca="1" si="15"/>
        <v>2009Q3</v>
      </c>
      <c r="F83" s="20">
        <f t="shared" ca="1" si="16"/>
        <v>40086</v>
      </c>
      <c r="G83" s="20">
        <f t="shared" ca="1" si="17"/>
        <v>39995</v>
      </c>
    </row>
    <row r="84" spans="1:7" ht="10.5" customHeight="1" x14ac:dyDescent="0.25">
      <c r="A84" s="5"/>
      <c r="B84" s="5"/>
      <c r="C84" s="4">
        <f t="shared" si="18"/>
        <v>-159</v>
      </c>
      <c r="D84" s="20">
        <f t="shared" ca="1" si="14"/>
        <v>39994</v>
      </c>
      <c r="E84" s="21" t="str">
        <f t="shared" ca="1" si="15"/>
        <v>2009Q2</v>
      </c>
      <c r="F84" s="20">
        <f t="shared" ca="1" si="16"/>
        <v>39994</v>
      </c>
      <c r="G84" s="20">
        <f t="shared" ca="1" si="17"/>
        <v>39904</v>
      </c>
    </row>
    <row r="85" spans="1:7" ht="10.5" customHeight="1" x14ac:dyDescent="0.25">
      <c r="A85" s="5"/>
      <c r="B85" s="5"/>
      <c r="C85" s="4">
        <f t="shared" si="18"/>
        <v>-162</v>
      </c>
      <c r="D85" s="20">
        <f t="shared" ca="1" si="14"/>
        <v>39902</v>
      </c>
      <c r="E85" s="21" t="str">
        <f t="shared" ca="1" si="15"/>
        <v>2009Q1</v>
      </c>
      <c r="F85" s="20">
        <f t="shared" ref="F85" ca="1" si="19">D85</f>
        <v>39902</v>
      </c>
      <c r="G85" s="20">
        <f t="shared" ca="1" si="17"/>
        <v>39814</v>
      </c>
    </row>
    <row r="86" spans="1:7" ht="10.5" hidden="1" customHeight="1" x14ac:dyDescent="0.25">
      <c r="A86" s="5"/>
      <c r="B86" s="5"/>
      <c r="D86" s="20"/>
      <c r="E86" s="21"/>
      <c r="F86" s="20"/>
      <c r="G86" s="20"/>
    </row>
    <row r="87" spans="1:7" ht="10.5" hidden="1" customHeight="1" x14ac:dyDescent="0.25">
      <c r="A87" s="5"/>
      <c r="B87" s="5"/>
      <c r="D87" s="20"/>
      <c r="E87" s="21"/>
      <c r="F87" s="20"/>
      <c r="G87" s="20"/>
    </row>
    <row r="88" spans="1:7" ht="10.5" hidden="1" customHeight="1" x14ac:dyDescent="0.25">
      <c r="A88" s="5"/>
      <c r="B88" s="5"/>
      <c r="D88" s="20"/>
      <c r="E88" s="21"/>
      <c r="F88" s="20"/>
      <c r="G88" s="20"/>
    </row>
    <row r="89" spans="1:7" ht="10.5" hidden="1" customHeight="1" x14ac:dyDescent="0.25">
      <c r="A89" s="5"/>
      <c r="B89" s="5"/>
      <c r="D89" s="20"/>
      <c r="E89" s="21"/>
      <c r="F89" s="20"/>
      <c r="G89" s="20"/>
    </row>
    <row r="90" spans="1:7" ht="10.5" hidden="1" customHeight="1" x14ac:dyDescent="0.25">
      <c r="A90" s="5"/>
      <c r="B90" s="5"/>
      <c r="D90" s="20"/>
      <c r="E90" s="21"/>
      <c r="F90" s="20"/>
      <c r="G90" s="20"/>
    </row>
  </sheetData>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autoPageBreaks="0"/>
  </sheetPr>
  <dimension ref="A1:K26"/>
  <sheetViews>
    <sheetView showGridLines="0" showRowColHeaders="0" workbookViewId="0">
      <pane ySplit="1" topLeftCell="A2" activePane="bottomLeft" state="frozen"/>
      <selection sqref="A1:I26"/>
      <selection pane="bottomLeft" activeCell="E2" sqref="E2"/>
    </sheetView>
  </sheetViews>
  <sheetFormatPr defaultColWidth="0" defaultRowHeight="10.5" customHeight="1" zeroHeight="1" x14ac:dyDescent="0.25"/>
  <cols>
    <col min="1" max="2" width="15.6640625" customWidth="1"/>
    <col min="3" max="3" width="30.6640625" customWidth="1"/>
    <col min="4" max="4" width="8.33203125" hidden="1" customWidth="1"/>
    <col min="5" max="5" width="60.6640625" customWidth="1"/>
    <col min="6" max="6" width="20.6640625" customWidth="1"/>
    <col min="7" max="8" width="40.6640625" customWidth="1"/>
    <col min="9" max="10" width="5.6640625" hidden="1" customWidth="1"/>
    <col min="11" max="16384" width="9.109375" hidden="1"/>
  </cols>
  <sheetData>
    <row r="1" spans="1:11" s="43" customFormat="1" ht="10.5" customHeight="1" x14ac:dyDescent="0.25">
      <c r="A1" s="40" t="s">
        <v>1380</v>
      </c>
      <c r="B1" s="128" t="s">
        <v>1381</v>
      </c>
      <c r="C1" s="40" t="s">
        <v>917</v>
      </c>
      <c r="D1" s="40" t="s">
        <v>1383</v>
      </c>
      <c r="E1" s="1" t="s">
        <v>1205</v>
      </c>
      <c r="F1" s="1" t="s">
        <v>1</v>
      </c>
      <c r="G1" s="250" t="s">
        <v>1464</v>
      </c>
      <c r="H1" s="250" t="s">
        <v>1463</v>
      </c>
      <c r="I1" s="26" t="s">
        <v>9</v>
      </c>
      <c r="J1" s="26" t="s">
        <v>10</v>
      </c>
      <c r="K1"/>
    </row>
    <row r="2" spans="1:11" s="43" customFormat="1" ht="10.5" customHeight="1" x14ac:dyDescent="0.25">
      <c r="A2" s="52" t="str">
        <f>IF(SUMPRODUCT(ISBLANK($E2:$H2)*1)&lt;4,"spe_nci","")</f>
        <v/>
      </c>
      <c r="B2" s="129" t="str">
        <f>IF(SUMPRODUCT(ISBLANK($E2:$H2)*1)&lt;4,spe_db_register!$D$6,"")</f>
        <v/>
      </c>
      <c r="C2" s="41" t="str">
        <f>IF(SUMPRODUCT(ISBLANK($E2:$H2)*1)&lt;4,spe_db_register!$D$9,"")</f>
        <v/>
      </c>
      <c r="D2" s="55" t="str">
        <f>IFERROR(IF(SUMPRODUCT(ISBLANK($E2:$H2)*1)&lt;4,1/SUMPRODUCT(((ISNONTEXT($E$2:$E$26)*1)=0)*1),""),0)</f>
        <v/>
      </c>
      <c r="E2" s="249"/>
      <c r="F2" s="249"/>
      <c r="G2" s="42"/>
      <c r="H2" s="42"/>
      <c r="I2" s="51" t="str">
        <f>IF(SUMPRODUCT(ISBLANK($E2:$H2)*1)&lt;4,FALSE,"")</f>
        <v/>
      </c>
      <c r="J2" s="51" t="str">
        <f>IF(SUMPRODUCT(ISBLANK($E2:$H2)*1)&lt;4,FALSE,"")</f>
        <v/>
      </c>
      <c r="K2"/>
    </row>
    <row r="3" spans="1:11" s="43" customFormat="1" ht="10.5" customHeight="1" x14ac:dyDescent="0.25">
      <c r="A3" s="52" t="str">
        <f t="shared" ref="A3:A26" si="0">IF(SUMPRODUCT(ISBLANK($E3:$H3)*1)&lt;4,"spe_nci","")</f>
        <v/>
      </c>
      <c r="B3" s="129" t="str">
        <f>IF(SUMPRODUCT(ISBLANK($E3:$H3)*1)&lt;4,spe_db_register!$D$6,"")</f>
        <v/>
      </c>
      <c r="C3" s="41" t="str">
        <f>IF(SUMPRODUCT(ISBLANK($E3:$H3)*1)&lt;4,spe_db_register!$D$9,"")</f>
        <v/>
      </c>
      <c r="D3" s="55" t="str">
        <f t="shared" ref="D3:D26" si="1">IFERROR(IF(SUMPRODUCT(ISBLANK($E3:$H3)*1)&lt;4,1/SUMPRODUCT(((ISNONTEXT($E$2:$E$26)*1)=0)*1),""),0)</f>
        <v/>
      </c>
      <c r="E3" s="249"/>
      <c r="F3" s="249"/>
      <c r="G3" s="42"/>
      <c r="H3" s="42"/>
      <c r="I3" s="51" t="str">
        <f t="shared" ref="I3:J26" si="2">IF(SUMPRODUCT(ISBLANK($E3:$H3)*1)&lt;4,FALSE,"")</f>
        <v/>
      </c>
      <c r="J3" s="51" t="str">
        <f t="shared" si="2"/>
        <v/>
      </c>
      <c r="K3"/>
    </row>
    <row r="4" spans="1:11" s="43" customFormat="1" ht="10.5" customHeight="1" x14ac:dyDescent="0.25">
      <c r="A4" s="52" t="str">
        <f t="shared" si="0"/>
        <v/>
      </c>
      <c r="B4" s="129" t="str">
        <f>IF(SUMPRODUCT(ISBLANK($E4:$H4)*1)&lt;4,spe_db_register!$D$6,"")</f>
        <v/>
      </c>
      <c r="C4" s="41" t="str">
        <f>IF(SUMPRODUCT(ISBLANK($E4:$H4)*1)&lt;4,spe_db_register!$D$9,"")</f>
        <v/>
      </c>
      <c r="D4" s="55" t="str">
        <f t="shared" si="1"/>
        <v/>
      </c>
      <c r="E4" s="249"/>
      <c r="F4" s="249"/>
      <c r="G4" s="42"/>
      <c r="H4" s="42"/>
      <c r="I4" s="51" t="str">
        <f t="shared" si="2"/>
        <v/>
      </c>
      <c r="J4" s="51" t="str">
        <f t="shared" si="2"/>
        <v/>
      </c>
      <c r="K4"/>
    </row>
    <row r="5" spans="1:11" s="43" customFormat="1" ht="10.5" customHeight="1" x14ac:dyDescent="0.25">
      <c r="A5" s="52" t="str">
        <f t="shared" si="0"/>
        <v/>
      </c>
      <c r="B5" s="129" t="str">
        <f>IF(SUMPRODUCT(ISBLANK($E5:$H5)*1)&lt;4,spe_db_register!$D$6,"")</f>
        <v/>
      </c>
      <c r="C5" s="41" t="str">
        <f>IF(SUMPRODUCT(ISBLANK($E5:$H5)*1)&lt;4,spe_db_register!$D$9,"")</f>
        <v/>
      </c>
      <c r="D5" s="55" t="str">
        <f t="shared" si="1"/>
        <v/>
      </c>
      <c r="E5" s="249"/>
      <c r="F5" s="249"/>
      <c r="G5" s="42"/>
      <c r="H5" s="42"/>
      <c r="I5" s="51" t="str">
        <f t="shared" si="2"/>
        <v/>
      </c>
      <c r="J5" s="51" t="str">
        <f t="shared" si="2"/>
        <v/>
      </c>
      <c r="K5"/>
    </row>
    <row r="6" spans="1:11" s="43" customFormat="1" ht="10.5" customHeight="1" x14ac:dyDescent="0.25">
      <c r="A6" s="52" t="str">
        <f t="shared" si="0"/>
        <v/>
      </c>
      <c r="B6" s="129" t="str">
        <f>IF(SUMPRODUCT(ISBLANK($E6:$H6)*1)&lt;4,spe_db_register!$D$6,"")</f>
        <v/>
      </c>
      <c r="C6" s="41" t="str">
        <f>IF(SUMPRODUCT(ISBLANK($E6:$H6)*1)&lt;4,spe_db_register!$D$9,"")</f>
        <v/>
      </c>
      <c r="D6" s="55" t="str">
        <f t="shared" si="1"/>
        <v/>
      </c>
      <c r="E6" s="249"/>
      <c r="F6" s="249"/>
      <c r="G6" s="42"/>
      <c r="H6" s="42"/>
      <c r="I6" s="51" t="str">
        <f t="shared" si="2"/>
        <v/>
      </c>
      <c r="J6" s="51" t="str">
        <f t="shared" si="2"/>
        <v/>
      </c>
      <c r="K6"/>
    </row>
    <row r="7" spans="1:11" s="43" customFormat="1" ht="10.5" customHeight="1" x14ac:dyDescent="0.25">
      <c r="A7" s="52" t="str">
        <f t="shared" si="0"/>
        <v/>
      </c>
      <c r="B7" s="129" t="str">
        <f>IF(SUMPRODUCT(ISBLANK($E7:$H7)*1)&lt;4,spe_db_register!$D$6,"")</f>
        <v/>
      </c>
      <c r="C7" s="41" t="str">
        <f>IF(SUMPRODUCT(ISBLANK($E7:$H7)*1)&lt;4,spe_db_register!$D$9,"")</f>
        <v/>
      </c>
      <c r="D7" s="55" t="str">
        <f t="shared" si="1"/>
        <v/>
      </c>
      <c r="E7" s="249"/>
      <c r="F7" s="249"/>
      <c r="G7" s="42"/>
      <c r="H7" s="42"/>
      <c r="I7" s="51" t="str">
        <f t="shared" si="2"/>
        <v/>
      </c>
      <c r="J7" s="51" t="str">
        <f t="shared" si="2"/>
        <v/>
      </c>
      <c r="K7"/>
    </row>
    <row r="8" spans="1:11" s="43" customFormat="1" ht="10.5" customHeight="1" x14ac:dyDescent="0.25">
      <c r="A8" s="52" t="str">
        <f t="shared" si="0"/>
        <v/>
      </c>
      <c r="B8" s="129" t="str">
        <f>IF(SUMPRODUCT(ISBLANK($E8:$H8)*1)&lt;4,spe_db_register!$D$6,"")</f>
        <v/>
      </c>
      <c r="C8" s="41" t="str">
        <f>IF(SUMPRODUCT(ISBLANK($E8:$H8)*1)&lt;4,spe_db_register!$D$9,"")</f>
        <v/>
      </c>
      <c r="D8" s="55" t="str">
        <f t="shared" si="1"/>
        <v/>
      </c>
      <c r="E8" s="249"/>
      <c r="F8" s="249"/>
      <c r="G8" s="42"/>
      <c r="H8" s="42"/>
      <c r="I8" s="51" t="str">
        <f t="shared" si="2"/>
        <v/>
      </c>
      <c r="J8" s="51" t="str">
        <f t="shared" si="2"/>
        <v/>
      </c>
      <c r="K8"/>
    </row>
    <row r="9" spans="1:11" s="43" customFormat="1" ht="10.5" customHeight="1" x14ac:dyDescent="0.25">
      <c r="A9" s="52" t="str">
        <f t="shared" si="0"/>
        <v/>
      </c>
      <c r="B9" s="129" t="str">
        <f>IF(SUMPRODUCT(ISBLANK($E9:$H9)*1)&lt;4,spe_db_register!$D$6,"")</f>
        <v/>
      </c>
      <c r="C9" s="41" t="str">
        <f>IF(SUMPRODUCT(ISBLANK($E9:$H9)*1)&lt;4,spe_db_register!$D$9,"")</f>
        <v/>
      </c>
      <c r="D9" s="55" t="str">
        <f t="shared" si="1"/>
        <v/>
      </c>
      <c r="E9" s="249"/>
      <c r="F9" s="249"/>
      <c r="G9" s="42"/>
      <c r="H9" s="42"/>
      <c r="I9" s="51" t="str">
        <f t="shared" si="2"/>
        <v/>
      </c>
      <c r="J9" s="51" t="str">
        <f t="shared" si="2"/>
        <v/>
      </c>
      <c r="K9"/>
    </row>
    <row r="10" spans="1:11" s="43" customFormat="1" ht="10.5" customHeight="1" x14ac:dyDescent="0.25">
      <c r="A10" s="52" t="str">
        <f t="shared" si="0"/>
        <v/>
      </c>
      <c r="B10" s="129" t="str">
        <f>IF(SUMPRODUCT(ISBLANK($E10:$H10)*1)&lt;4,spe_db_register!$D$6,"")</f>
        <v/>
      </c>
      <c r="C10" s="41" t="str">
        <f>IF(SUMPRODUCT(ISBLANK($E10:$H10)*1)&lt;4,spe_db_register!$D$9,"")</f>
        <v/>
      </c>
      <c r="D10" s="55" t="str">
        <f t="shared" si="1"/>
        <v/>
      </c>
      <c r="E10" s="249"/>
      <c r="F10" s="249"/>
      <c r="G10" s="42"/>
      <c r="H10" s="42"/>
      <c r="I10" s="51" t="str">
        <f t="shared" si="2"/>
        <v/>
      </c>
      <c r="J10" s="51" t="str">
        <f t="shared" si="2"/>
        <v/>
      </c>
      <c r="K10"/>
    </row>
    <row r="11" spans="1:11" s="43" customFormat="1" ht="10.5" customHeight="1" x14ac:dyDescent="0.25">
      <c r="A11" s="52" t="str">
        <f t="shared" si="0"/>
        <v/>
      </c>
      <c r="B11" s="129" t="str">
        <f>IF(SUMPRODUCT(ISBLANK($E11:$H11)*1)&lt;4,spe_db_register!$D$6,"")</f>
        <v/>
      </c>
      <c r="C11" s="41" t="str">
        <f>IF(SUMPRODUCT(ISBLANK($E11:$H11)*1)&lt;4,spe_db_register!$D$9,"")</f>
        <v/>
      </c>
      <c r="D11" s="55" t="str">
        <f t="shared" si="1"/>
        <v/>
      </c>
      <c r="E11" s="249"/>
      <c r="F11" s="249"/>
      <c r="G11" s="42"/>
      <c r="H11" s="42"/>
      <c r="I11" s="51" t="str">
        <f t="shared" si="2"/>
        <v/>
      </c>
      <c r="J11" s="51" t="str">
        <f t="shared" si="2"/>
        <v/>
      </c>
      <c r="K11"/>
    </row>
    <row r="12" spans="1:11" s="43" customFormat="1" ht="10.5" customHeight="1" x14ac:dyDescent="0.25">
      <c r="A12" s="52" t="str">
        <f t="shared" si="0"/>
        <v/>
      </c>
      <c r="B12" s="129" t="str">
        <f>IF(SUMPRODUCT(ISBLANK($E12:$H12)*1)&lt;4,spe_db_register!$D$6,"")</f>
        <v/>
      </c>
      <c r="C12" s="41" t="str">
        <f>IF(SUMPRODUCT(ISBLANK($E12:$H12)*1)&lt;4,spe_db_register!$D$9,"")</f>
        <v/>
      </c>
      <c r="D12" s="55" t="str">
        <f t="shared" si="1"/>
        <v/>
      </c>
      <c r="E12" s="249"/>
      <c r="F12" s="249"/>
      <c r="G12" s="42"/>
      <c r="H12" s="42"/>
      <c r="I12" s="51" t="str">
        <f t="shared" si="2"/>
        <v/>
      </c>
      <c r="J12" s="51" t="str">
        <f t="shared" si="2"/>
        <v/>
      </c>
      <c r="K12"/>
    </row>
    <row r="13" spans="1:11" s="43" customFormat="1" ht="10.5" customHeight="1" x14ac:dyDescent="0.25">
      <c r="A13" s="52" t="str">
        <f t="shared" si="0"/>
        <v/>
      </c>
      <c r="B13" s="129" t="str">
        <f>IF(SUMPRODUCT(ISBLANK($E13:$H13)*1)&lt;4,spe_db_register!$D$6,"")</f>
        <v/>
      </c>
      <c r="C13" s="41" t="str">
        <f>IF(SUMPRODUCT(ISBLANK($E13:$H13)*1)&lt;4,spe_db_register!$D$9,"")</f>
        <v/>
      </c>
      <c r="D13" s="55" t="str">
        <f t="shared" si="1"/>
        <v/>
      </c>
      <c r="E13" s="249"/>
      <c r="F13" s="249"/>
      <c r="G13" s="42"/>
      <c r="H13" s="42"/>
      <c r="I13" s="51" t="str">
        <f t="shared" si="2"/>
        <v/>
      </c>
      <c r="J13" s="51" t="str">
        <f t="shared" si="2"/>
        <v/>
      </c>
      <c r="K13"/>
    </row>
    <row r="14" spans="1:11" s="43" customFormat="1" ht="10.5" customHeight="1" x14ac:dyDescent="0.25">
      <c r="A14" s="52" t="str">
        <f t="shared" si="0"/>
        <v/>
      </c>
      <c r="B14" s="129" t="str">
        <f>IF(SUMPRODUCT(ISBLANK($E14:$H14)*1)&lt;4,spe_db_register!$D$6,"")</f>
        <v/>
      </c>
      <c r="C14" s="41" t="str">
        <f>IF(SUMPRODUCT(ISBLANK($E14:$H14)*1)&lt;4,spe_db_register!$D$9,"")</f>
        <v/>
      </c>
      <c r="D14" s="55" t="str">
        <f t="shared" si="1"/>
        <v/>
      </c>
      <c r="E14" s="249"/>
      <c r="F14" s="249"/>
      <c r="G14" s="42"/>
      <c r="H14" s="42"/>
      <c r="I14" s="51" t="str">
        <f t="shared" si="2"/>
        <v/>
      </c>
      <c r="J14" s="51" t="str">
        <f t="shared" si="2"/>
        <v/>
      </c>
      <c r="K14"/>
    </row>
    <row r="15" spans="1:11" s="43" customFormat="1" ht="10.5" customHeight="1" x14ac:dyDescent="0.25">
      <c r="A15" s="52" t="str">
        <f t="shared" si="0"/>
        <v/>
      </c>
      <c r="B15" s="129" t="str">
        <f>IF(SUMPRODUCT(ISBLANK($E15:$H15)*1)&lt;4,spe_db_register!$D$6,"")</f>
        <v/>
      </c>
      <c r="C15" s="41" t="str">
        <f>IF(SUMPRODUCT(ISBLANK($E15:$H15)*1)&lt;4,spe_db_register!$D$9,"")</f>
        <v/>
      </c>
      <c r="D15" s="55" t="str">
        <f t="shared" si="1"/>
        <v/>
      </c>
      <c r="E15" s="249"/>
      <c r="F15" s="249"/>
      <c r="G15" s="42"/>
      <c r="H15" s="42"/>
      <c r="I15" s="51" t="str">
        <f t="shared" si="2"/>
        <v/>
      </c>
      <c r="J15" s="51" t="str">
        <f t="shared" si="2"/>
        <v/>
      </c>
      <c r="K15"/>
    </row>
    <row r="16" spans="1:11" s="43" customFormat="1" ht="10.5" customHeight="1" x14ac:dyDescent="0.25">
      <c r="A16" s="52" t="str">
        <f t="shared" si="0"/>
        <v/>
      </c>
      <c r="B16" s="129" t="str">
        <f>IF(SUMPRODUCT(ISBLANK($E16:$H16)*1)&lt;4,spe_db_register!$D$6,"")</f>
        <v/>
      </c>
      <c r="C16" s="41" t="str">
        <f>IF(SUMPRODUCT(ISBLANK($E16:$H16)*1)&lt;4,spe_db_register!$D$9,"")</f>
        <v/>
      </c>
      <c r="D16" s="55" t="str">
        <f t="shared" si="1"/>
        <v/>
      </c>
      <c r="E16" s="249"/>
      <c r="F16" s="249"/>
      <c r="G16" s="42"/>
      <c r="H16" s="42"/>
      <c r="I16" s="51" t="str">
        <f t="shared" si="2"/>
        <v/>
      </c>
      <c r="J16" s="51" t="str">
        <f t="shared" si="2"/>
        <v/>
      </c>
      <c r="K16"/>
    </row>
    <row r="17" spans="1:11" s="43" customFormat="1" ht="10.5" customHeight="1" x14ac:dyDescent="0.25">
      <c r="A17" s="52" t="str">
        <f t="shared" si="0"/>
        <v/>
      </c>
      <c r="B17" s="129" t="str">
        <f>IF(SUMPRODUCT(ISBLANK($E17:$H17)*1)&lt;4,spe_db_register!$D$6,"")</f>
        <v/>
      </c>
      <c r="C17" s="41" t="str">
        <f>IF(SUMPRODUCT(ISBLANK($E17:$H17)*1)&lt;4,spe_db_register!$D$9,"")</f>
        <v/>
      </c>
      <c r="D17" s="55" t="str">
        <f t="shared" si="1"/>
        <v/>
      </c>
      <c r="E17" s="249"/>
      <c r="F17" s="249"/>
      <c r="G17" s="42"/>
      <c r="H17" s="42"/>
      <c r="I17" s="51" t="str">
        <f t="shared" si="2"/>
        <v/>
      </c>
      <c r="J17" s="51" t="str">
        <f t="shared" si="2"/>
        <v/>
      </c>
      <c r="K17"/>
    </row>
    <row r="18" spans="1:11" s="43" customFormat="1" ht="10.5" customHeight="1" x14ac:dyDescent="0.25">
      <c r="A18" s="52" t="str">
        <f t="shared" si="0"/>
        <v/>
      </c>
      <c r="B18" s="129" t="str">
        <f>IF(SUMPRODUCT(ISBLANK($E18:$H18)*1)&lt;4,spe_db_register!$D$6,"")</f>
        <v/>
      </c>
      <c r="C18" s="41" t="str">
        <f>IF(SUMPRODUCT(ISBLANK($E18:$H18)*1)&lt;4,spe_db_register!$D$9,"")</f>
        <v/>
      </c>
      <c r="D18" s="55" t="str">
        <f t="shared" si="1"/>
        <v/>
      </c>
      <c r="E18" s="249"/>
      <c r="F18" s="249"/>
      <c r="G18" s="42"/>
      <c r="H18" s="42"/>
      <c r="I18" s="51" t="str">
        <f t="shared" si="2"/>
        <v/>
      </c>
      <c r="J18" s="51" t="str">
        <f t="shared" si="2"/>
        <v/>
      </c>
      <c r="K18"/>
    </row>
    <row r="19" spans="1:11" s="43" customFormat="1" ht="10.5" customHeight="1" x14ac:dyDescent="0.25">
      <c r="A19" s="52" t="str">
        <f t="shared" si="0"/>
        <v/>
      </c>
      <c r="B19" s="129" t="str">
        <f>IF(SUMPRODUCT(ISBLANK($E19:$H19)*1)&lt;4,spe_db_register!$D$6,"")</f>
        <v/>
      </c>
      <c r="C19" s="41" t="str">
        <f>IF(SUMPRODUCT(ISBLANK($E19:$H19)*1)&lt;4,spe_db_register!$D$9,"")</f>
        <v/>
      </c>
      <c r="D19" s="55" t="str">
        <f t="shared" si="1"/>
        <v/>
      </c>
      <c r="E19" s="249"/>
      <c r="F19" s="249"/>
      <c r="G19" s="42"/>
      <c r="H19" s="42"/>
      <c r="I19" s="51" t="str">
        <f t="shared" si="2"/>
        <v/>
      </c>
      <c r="J19" s="51" t="str">
        <f t="shared" si="2"/>
        <v/>
      </c>
      <c r="K19"/>
    </row>
    <row r="20" spans="1:11" s="43" customFormat="1" ht="10.5" customHeight="1" x14ac:dyDescent="0.25">
      <c r="A20" s="52" t="str">
        <f t="shared" si="0"/>
        <v/>
      </c>
      <c r="B20" s="129" t="str">
        <f>IF(SUMPRODUCT(ISBLANK($E20:$H20)*1)&lt;4,spe_db_register!$D$6,"")</f>
        <v/>
      </c>
      <c r="C20" s="41" t="str">
        <f>IF(SUMPRODUCT(ISBLANK($E20:$H20)*1)&lt;4,spe_db_register!$D$9,"")</f>
        <v/>
      </c>
      <c r="D20" s="55" t="str">
        <f t="shared" si="1"/>
        <v/>
      </c>
      <c r="E20" s="249"/>
      <c r="F20" s="249"/>
      <c r="G20" s="42"/>
      <c r="H20" s="42"/>
      <c r="I20" s="51" t="str">
        <f t="shared" si="2"/>
        <v/>
      </c>
      <c r="J20" s="51" t="str">
        <f t="shared" si="2"/>
        <v/>
      </c>
      <c r="K20"/>
    </row>
    <row r="21" spans="1:11" s="43" customFormat="1" ht="10.5" customHeight="1" x14ac:dyDescent="0.25">
      <c r="A21" s="52" t="str">
        <f t="shared" si="0"/>
        <v/>
      </c>
      <c r="B21" s="129" t="str">
        <f>IF(SUMPRODUCT(ISBLANK($E21:$H21)*1)&lt;4,spe_db_register!$D$6,"")</f>
        <v/>
      </c>
      <c r="C21" s="41" t="str">
        <f>IF(SUMPRODUCT(ISBLANK($E21:$H21)*1)&lt;4,spe_db_register!$D$9,"")</f>
        <v/>
      </c>
      <c r="D21" s="55" t="str">
        <f t="shared" si="1"/>
        <v/>
      </c>
      <c r="E21" s="249"/>
      <c r="F21" s="249"/>
      <c r="G21" s="42"/>
      <c r="H21" s="42"/>
      <c r="I21" s="51" t="str">
        <f t="shared" si="2"/>
        <v/>
      </c>
      <c r="J21" s="51" t="str">
        <f t="shared" si="2"/>
        <v/>
      </c>
      <c r="K21"/>
    </row>
    <row r="22" spans="1:11" s="43" customFormat="1" ht="10.5" customHeight="1" x14ac:dyDescent="0.25">
      <c r="A22" s="52" t="str">
        <f t="shared" si="0"/>
        <v/>
      </c>
      <c r="B22" s="129" t="str">
        <f>IF(SUMPRODUCT(ISBLANK($E22:$H22)*1)&lt;4,spe_db_register!$D$6,"")</f>
        <v/>
      </c>
      <c r="C22" s="41" t="str">
        <f>IF(SUMPRODUCT(ISBLANK($E22:$H22)*1)&lt;4,spe_db_register!$D$9,"")</f>
        <v/>
      </c>
      <c r="D22" s="55" t="str">
        <f t="shared" si="1"/>
        <v/>
      </c>
      <c r="E22" s="249"/>
      <c r="F22" s="249"/>
      <c r="G22" s="42"/>
      <c r="H22" s="42"/>
      <c r="I22" s="51" t="str">
        <f t="shared" si="2"/>
        <v/>
      </c>
      <c r="J22" s="51" t="str">
        <f t="shared" si="2"/>
        <v/>
      </c>
      <c r="K22"/>
    </row>
    <row r="23" spans="1:11" s="43" customFormat="1" ht="10.5" customHeight="1" x14ac:dyDescent="0.25">
      <c r="A23" s="52" t="str">
        <f t="shared" si="0"/>
        <v/>
      </c>
      <c r="B23" s="129" t="str">
        <f>IF(SUMPRODUCT(ISBLANK($E23:$H23)*1)&lt;4,spe_db_register!$D$6,"")</f>
        <v/>
      </c>
      <c r="C23" s="41" t="str">
        <f>IF(SUMPRODUCT(ISBLANK($E23:$H23)*1)&lt;4,spe_db_register!$D$9,"")</f>
        <v/>
      </c>
      <c r="D23" s="55" t="str">
        <f t="shared" si="1"/>
        <v/>
      </c>
      <c r="E23" s="249"/>
      <c r="F23" s="249"/>
      <c r="G23" s="42"/>
      <c r="H23" s="42"/>
      <c r="I23" s="51" t="str">
        <f t="shared" si="2"/>
        <v/>
      </c>
      <c r="J23" s="51" t="str">
        <f t="shared" si="2"/>
        <v/>
      </c>
      <c r="K23"/>
    </row>
    <row r="24" spans="1:11" s="43" customFormat="1" ht="10.5" customHeight="1" x14ac:dyDescent="0.25">
      <c r="A24" s="52" t="str">
        <f t="shared" si="0"/>
        <v/>
      </c>
      <c r="B24" s="129" t="str">
        <f>IF(SUMPRODUCT(ISBLANK($E24:$H24)*1)&lt;4,spe_db_register!$D$6,"")</f>
        <v/>
      </c>
      <c r="C24" s="41" t="str">
        <f>IF(SUMPRODUCT(ISBLANK($E24:$H24)*1)&lt;4,spe_db_register!$D$9,"")</f>
        <v/>
      </c>
      <c r="D24" s="55" t="str">
        <f t="shared" si="1"/>
        <v/>
      </c>
      <c r="E24" s="249"/>
      <c r="F24" s="249"/>
      <c r="G24" s="42"/>
      <c r="H24" s="42"/>
      <c r="I24" s="51" t="str">
        <f t="shared" si="2"/>
        <v/>
      </c>
      <c r="J24" s="51" t="str">
        <f t="shared" si="2"/>
        <v/>
      </c>
      <c r="K24"/>
    </row>
    <row r="25" spans="1:11" s="43" customFormat="1" ht="10.5" customHeight="1" x14ac:dyDescent="0.25">
      <c r="A25" s="52" t="str">
        <f t="shared" si="0"/>
        <v/>
      </c>
      <c r="B25" s="129" t="str">
        <f>IF(SUMPRODUCT(ISBLANK($E25:$H25)*1)&lt;4,spe_db_register!$D$6,"")</f>
        <v/>
      </c>
      <c r="C25" s="41" t="str">
        <f>IF(SUMPRODUCT(ISBLANK($E25:$H25)*1)&lt;4,spe_db_register!$D$9,"")</f>
        <v/>
      </c>
      <c r="D25" s="55" t="str">
        <f t="shared" si="1"/>
        <v/>
      </c>
      <c r="E25" s="249"/>
      <c r="F25" s="249"/>
      <c r="G25" s="42"/>
      <c r="H25" s="42"/>
      <c r="I25" s="51" t="str">
        <f t="shared" si="2"/>
        <v/>
      </c>
      <c r="J25" s="51" t="str">
        <f t="shared" si="2"/>
        <v/>
      </c>
      <c r="K25"/>
    </row>
    <row r="26" spans="1:11" s="43" customFormat="1" ht="10.5" customHeight="1" x14ac:dyDescent="0.25">
      <c r="A26" s="52" t="str">
        <f t="shared" si="0"/>
        <v/>
      </c>
      <c r="B26" s="129" t="str">
        <f>IF(SUMPRODUCT(ISBLANK($E26:$H26)*1)&lt;4,spe_db_register!$D$6,"")</f>
        <v/>
      </c>
      <c r="C26" s="41" t="str">
        <f>IF(SUMPRODUCT(ISBLANK($E26:$H26)*1)&lt;4,spe_db_register!$D$9,"")</f>
        <v/>
      </c>
      <c r="D26" s="55" t="str">
        <f t="shared" si="1"/>
        <v/>
      </c>
      <c r="E26" s="249"/>
      <c r="F26" s="249"/>
      <c r="G26" s="42"/>
      <c r="H26" s="42"/>
      <c r="I26" s="51" t="str">
        <f t="shared" si="2"/>
        <v/>
      </c>
      <c r="J26" s="51" t="str">
        <f t="shared" si="2"/>
        <v/>
      </c>
      <c r="K26"/>
    </row>
  </sheetData>
  <sheetProtection algorithmName="SHA-512" hashValue="yknvRgizPB8ouUAQ1rk+fPle3Q8r2NO50STm3nrMNN6n5OjCPjn5DWTyK7njhAApBd5c3UGT6ODl4CAa0Bzj6w==" saltValue="eYDuuIV3YnYpL9OH9YLWWA==" spinCount="100000" sheet="1" objects="1" scenarios="1"/>
  <dataValidations count="1">
    <dataValidation type="textLength" errorStyle="warning" operator="equal" allowBlank="1" showErrorMessage="1" errorTitle="LEI" error="LEI Code must be exactly 20 characters in length." sqref="F2:F26">
      <formula1>20</formula1>
    </dataValidation>
  </dataValidation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Title="Sector" error="Select Sector from List">
          <x14:formula1>
            <xm:f>lists!$U$2:$U$15</xm:f>
          </x14:formula1>
          <xm:sqref>H2:H26</xm:sqref>
        </x14:dataValidation>
        <x14:dataValidation type="list" errorStyle="warning" showErrorMessage="1" errorTitle="Country" error="Select Country from List">
          <x14:formula1>
            <xm:f>lists!$S$2:$S$249</xm:f>
          </x14:formula1>
          <xm:sqref>G2:G26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autoPageBreaks="0"/>
  </sheetPr>
  <dimension ref="A1:K26"/>
  <sheetViews>
    <sheetView showGridLines="0" showRowColHeaders="0" workbookViewId="0">
      <selection activeCell="E8" sqref="E8"/>
    </sheetView>
  </sheetViews>
  <sheetFormatPr defaultColWidth="9.109375" defaultRowHeight="10.5" customHeight="1" x14ac:dyDescent="0.25"/>
  <cols>
    <col min="1" max="2" width="15.6640625" customWidth="1"/>
    <col min="3" max="3" width="30.6640625" customWidth="1"/>
    <col min="4" max="4" width="8.33203125" hidden="1" customWidth="1"/>
    <col min="5" max="5" width="40.6640625" customWidth="1"/>
    <col min="6" max="6" width="20.6640625" customWidth="1"/>
    <col min="7" max="8" width="30.6640625" customWidth="1"/>
    <col min="9" max="9" width="35.6640625" customWidth="1"/>
    <col min="10" max="10" width="20.6640625" customWidth="1"/>
    <col min="11" max="11" width="10.6640625" customWidth="1"/>
  </cols>
  <sheetData>
    <row r="1" spans="1:11" s="501" customFormat="1" ht="10.5" customHeight="1" x14ac:dyDescent="0.25">
      <c r="A1" s="40" t="s">
        <v>1380</v>
      </c>
      <c r="B1" s="128" t="s">
        <v>1381</v>
      </c>
      <c r="C1" s="40" t="s">
        <v>917</v>
      </c>
      <c r="D1" s="40" t="s">
        <v>1383</v>
      </c>
      <c r="E1" s="498" t="s">
        <v>1205</v>
      </c>
      <c r="F1" s="498" t="s">
        <v>1</v>
      </c>
      <c r="G1" s="498" t="s">
        <v>1464</v>
      </c>
      <c r="H1" s="498" t="s">
        <v>1463</v>
      </c>
      <c r="I1" s="499" t="s">
        <v>9</v>
      </c>
      <c r="J1" s="500" t="s">
        <v>1465</v>
      </c>
      <c r="K1" s="500" t="s">
        <v>1379</v>
      </c>
    </row>
    <row r="2" spans="1:11" s="502" customFormat="1" ht="21" customHeight="1" x14ac:dyDescent="0.25">
      <c r="A2" s="145" t="str">
        <f>IF(SUMPRODUCT(ISBLANK($E2:$H2)*1)&lt;4,"spe_guarantor","")</f>
        <v/>
      </c>
      <c r="B2" s="146" t="str">
        <f>IF(SUMPRODUCT(ISBLANK($E2:$J2)*1)&lt;6,spe_db_register!$D$6,"")</f>
        <v/>
      </c>
      <c r="C2" s="147" t="str">
        <f>IF(SUMPRODUCT(ISBLANK($E2:$J2)*1)&lt;6,spe_db_register!$D$9,"")</f>
        <v/>
      </c>
      <c r="D2" s="148" t="str">
        <f>IFERROR(IF(SUMPRODUCT(ISBLANK($E2:$J2)*1)&lt;6,1/SUMPRODUCT(((ISNONTEXT($E$2:$E$26)*1)=0)*1),""),0)</f>
        <v/>
      </c>
      <c r="E2" s="251"/>
      <c r="F2" s="251"/>
      <c r="G2" s="149"/>
      <c r="H2" s="149"/>
      <c r="I2" s="252"/>
      <c r="J2" s="149"/>
      <c r="K2" s="150" t="str">
        <f>IF(IFERROR(VLOOKUP($J2,lists!$C$2:$E$4,3,FALSE),"")="NULL",FALSE,IFERROR(VLOOKUP($J2,lists!$C$2:$E$4,3,FALSE),""))</f>
        <v/>
      </c>
    </row>
    <row r="3" spans="1:11" s="502" customFormat="1" ht="21" customHeight="1" x14ac:dyDescent="0.25">
      <c r="A3" s="145" t="str">
        <f t="shared" ref="A3:A26" si="0">IF(SUMPRODUCT(ISBLANK($E3:$H3)*1)&lt;4,"spe_guarantor","")</f>
        <v/>
      </c>
      <c r="B3" s="146" t="str">
        <f>IF(SUMPRODUCT(ISBLANK($E3:$J3)*1)&lt;6,spe_db_register!$D$6,"")</f>
        <v/>
      </c>
      <c r="C3" s="147" t="str">
        <f>IF(SUMPRODUCT(ISBLANK($E3:$J3)*1)&lt;6,spe_db_register!$D$9,"")</f>
        <v/>
      </c>
      <c r="D3" s="148" t="str">
        <f t="shared" ref="D3:D26" si="1">IFERROR(IF(SUMPRODUCT(ISBLANK($E3:$J3)*1)&lt;6,1/SUMPRODUCT(((ISNONTEXT($E$2:$E$26)*1)=0)*1),""),0)</f>
        <v/>
      </c>
      <c r="E3" s="251"/>
      <c r="F3" s="251"/>
      <c r="G3" s="42"/>
      <c r="H3" s="149"/>
      <c r="I3" s="252"/>
      <c r="J3" s="149"/>
      <c r="K3" s="150" t="str">
        <f>IF(IFERROR(VLOOKUP($J3,lists!$C$2:$E$4,3,FALSE),"")="NULL",FALSE,IFERROR(VLOOKUP($J3,lists!$C$2:$E$4,3,FALSE),""))</f>
        <v/>
      </c>
    </row>
    <row r="4" spans="1:11" s="502" customFormat="1" ht="21" customHeight="1" x14ac:dyDescent="0.25">
      <c r="A4" s="145" t="str">
        <f t="shared" si="0"/>
        <v/>
      </c>
      <c r="B4" s="146" t="str">
        <f>IF(SUMPRODUCT(ISBLANK($E4:$J4)*1)&lt;6,spe_db_register!$D$6,"")</f>
        <v/>
      </c>
      <c r="C4" s="147" t="str">
        <f>IF(SUMPRODUCT(ISBLANK($E4:$J4)*1)&lt;6,spe_db_register!$D$9,"")</f>
        <v/>
      </c>
      <c r="D4" s="148" t="str">
        <f t="shared" si="1"/>
        <v/>
      </c>
      <c r="E4" s="251"/>
      <c r="F4" s="251"/>
      <c r="G4" s="42"/>
      <c r="H4" s="149"/>
      <c r="I4" s="252"/>
      <c r="J4" s="149"/>
      <c r="K4" s="150" t="str">
        <f>IF(IFERROR(VLOOKUP($J4,lists!$C$2:$E$4,3,FALSE),"")="NULL",FALSE,IFERROR(VLOOKUP($J4,lists!$C$2:$E$4,3,FALSE),""))</f>
        <v/>
      </c>
    </row>
    <row r="5" spans="1:11" s="502" customFormat="1" ht="21" customHeight="1" x14ac:dyDescent="0.25">
      <c r="A5" s="145" t="str">
        <f t="shared" si="0"/>
        <v/>
      </c>
      <c r="B5" s="146" t="str">
        <f>IF(SUMPRODUCT(ISBLANK($E5:$J5)*1)&lt;6,spe_db_register!$D$6,"")</f>
        <v/>
      </c>
      <c r="C5" s="147" t="str">
        <f>IF(SUMPRODUCT(ISBLANK($E5:$J5)*1)&lt;6,spe_db_register!$D$9,"")</f>
        <v/>
      </c>
      <c r="D5" s="148" t="str">
        <f t="shared" si="1"/>
        <v/>
      </c>
      <c r="E5" s="251"/>
      <c r="F5" s="251"/>
      <c r="G5" s="42"/>
      <c r="H5" s="149"/>
      <c r="I5" s="252"/>
      <c r="J5" s="149"/>
      <c r="K5" s="150" t="str">
        <f>IF(IFERROR(VLOOKUP($J5,lists!$C$2:$E$4,3,FALSE),"")="NULL",FALSE,IFERROR(VLOOKUP($J5,lists!$C$2:$E$4,3,FALSE),""))</f>
        <v/>
      </c>
    </row>
    <row r="6" spans="1:11" s="502" customFormat="1" ht="21" customHeight="1" x14ac:dyDescent="0.25">
      <c r="A6" s="145" t="str">
        <f t="shared" si="0"/>
        <v/>
      </c>
      <c r="B6" s="146" t="str">
        <f>IF(SUMPRODUCT(ISBLANK($E6:$J6)*1)&lt;6,spe_db_register!$D$6,"")</f>
        <v/>
      </c>
      <c r="C6" s="147" t="str">
        <f>IF(SUMPRODUCT(ISBLANK($E6:$J6)*1)&lt;6,spe_db_register!$D$9,"")</f>
        <v/>
      </c>
      <c r="D6" s="148" t="str">
        <f t="shared" si="1"/>
        <v/>
      </c>
      <c r="E6" s="251"/>
      <c r="F6" s="251"/>
      <c r="G6" s="42"/>
      <c r="H6" s="149"/>
      <c r="I6" s="252"/>
      <c r="J6" s="149"/>
      <c r="K6" s="150" t="str">
        <f>IF(IFERROR(VLOOKUP($J6,lists!$C$2:$E$4,3,FALSE),"")="NULL",FALSE,IFERROR(VLOOKUP($J6,lists!$C$2:$E$4,3,FALSE),""))</f>
        <v/>
      </c>
    </row>
    <row r="7" spans="1:11" s="502" customFormat="1" ht="21" customHeight="1" x14ac:dyDescent="0.25">
      <c r="A7" s="145" t="str">
        <f t="shared" si="0"/>
        <v/>
      </c>
      <c r="B7" s="146" t="str">
        <f>IF(SUMPRODUCT(ISBLANK($E7:$J7)*1)&lt;6,spe_db_register!$D$6,"")</f>
        <v/>
      </c>
      <c r="C7" s="147" t="str">
        <f>IF(SUMPRODUCT(ISBLANK($E7:$J7)*1)&lt;6,spe_db_register!$D$9,"")</f>
        <v/>
      </c>
      <c r="D7" s="148" t="str">
        <f t="shared" si="1"/>
        <v/>
      </c>
      <c r="E7" s="251"/>
      <c r="F7" s="251"/>
      <c r="G7" s="42"/>
      <c r="H7" s="149"/>
      <c r="I7" s="252"/>
      <c r="J7" s="149"/>
      <c r="K7" s="150" t="str">
        <f>IF(IFERROR(VLOOKUP($J7,lists!$C$2:$E$4,3,FALSE),"")="NULL",FALSE,IFERROR(VLOOKUP($J7,lists!$C$2:$E$4,3,FALSE),""))</f>
        <v/>
      </c>
    </row>
    <row r="8" spans="1:11" s="502" customFormat="1" ht="21" customHeight="1" x14ac:dyDescent="0.25">
      <c r="A8" s="145" t="str">
        <f t="shared" si="0"/>
        <v/>
      </c>
      <c r="B8" s="146" t="str">
        <f>IF(SUMPRODUCT(ISBLANK($E8:$J8)*1)&lt;6,spe_db_register!$D$6,"")</f>
        <v/>
      </c>
      <c r="C8" s="147" t="str">
        <f>IF(SUMPRODUCT(ISBLANK($E8:$J8)*1)&lt;6,spe_db_register!$D$9,"")</f>
        <v/>
      </c>
      <c r="D8" s="148" t="str">
        <f t="shared" si="1"/>
        <v/>
      </c>
      <c r="E8" s="251"/>
      <c r="F8" s="251"/>
      <c r="G8" s="42"/>
      <c r="H8" s="149"/>
      <c r="I8" s="252"/>
      <c r="J8" s="149"/>
      <c r="K8" s="150" t="str">
        <f>IF(IFERROR(VLOOKUP($J8,lists!$C$2:$E$4,3,FALSE),"")="NULL",FALSE,IFERROR(VLOOKUP($J8,lists!$C$2:$E$4,3,FALSE),""))</f>
        <v/>
      </c>
    </row>
    <row r="9" spans="1:11" s="502" customFormat="1" ht="21" customHeight="1" x14ac:dyDescent="0.25">
      <c r="A9" s="145" t="str">
        <f t="shared" si="0"/>
        <v/>
      </c>
      <c r="B9" s="146" t="str">
        <f>IF(SUMPRODUCT(ISBLANK($E9:$J9)*1)&lt;6,spe_db_register!$D$6,"")</f>
        <v/>
      </c>
      <c r="C9" s="147" t="str">
        <f>IF(SUMPRODUCT(ISBLANK($E9:$J9)*1)&lt;6,spe_db_register!$D$9,"")</f>
        <v/>
      </c>
      <c r="D9" s="148" t="str">
        <f t="shared" si="1"/>
        <v/>
      </c>
      <c r="E9" s="251"/>
      <c r="F9" s="251"/>
      <c r="G9" s="42"/>
      <c r="H9" s="149"/>
      <c r="I9" s="252"/>
      <c r="J9" s="149"/>
      <c r="K9" s="150" t="str">
        <f>IF(IFERROR(VLOOKUP($J9,lists!$C$2:$E$4,3,FALSE),"")="NULL",FALSE,IFERROR(VLOOKUP($J9,lists!$C$2:$E$4,3,FALSE),""))</f>
        <v/>
      </c>
    </row>
    <row r="10" spans="1:11" s="502" customFormat="1" ht="21" customHeight="1" x14ac:dyDescent="0.25">
      <c r="A10" s="145" t="str">
        <f t="shared" si="0"/>
        <v/>
      </c>
      <c r="B10" s="146" t="str">
        <f>IF(SUMPRODUCT(ISBLANK($E10:$J10)*1)&lt;6,spe_db_register!$D$6,"")</f>
        <v/>
      </c>
      <c r="C10" s="147" t="str">
        <f>IF(SUMPRODUCT(ISBLANK($E10:$J10)*1)&lt;6,spe_db_register!$D$9,"")</f>
        <v/>
      </c>
      <c r="D10" s="148" t="str">
        <f t="shared" si="1"/>
        <v/>
      </c>
      <c r="E10" s="251"/>
      <c r="F10" s="251"/>
      <c r="G10" s="42"/>
      <c r="H10" s="149"/>
      <c r="I10" s="252"/>
      <c r="J10" s="149"/>
      <c r="K10" s="150" t="str">
        <f>IF(IFERROR(VLOOKUP($J10,lists!$C$2:$E$4,3,FALSE),"")="NULL",FALSE,IFERROR(VLOOKUP($J10,lists!$C$2:$E$4,3,FALSE),""))</f>
        <v/>
      </c>
    </row>
    <row r="11" spans="1:11" s="502" customFormat="1" ht="21" customHeight="1" x14ac:dyDescent="0.25">
      <c r="A11" s="145" t="str">
        <f t="shared" si="0"/>
        <v/>
      </c>
      <c r="B11" s="146" t="str">
        <f>IF(SUMPRODUCT(ISBLANK($E11:$J11)*1)&lt;6,spe_db_register!$D$6,"")</f>
        <v/>
      </c>
      <c r="C11" s="147" t="str">
        <f>IF(SUMPRODUCT(ISBLANK($E11:$J11)*1)&lt;6,spe_db_register!$D$9,"")</f>
        <v/>
      </c>
      <c r="D11" s="148" t="str">
        <f t="shared" si="1"/>
        <v/>
      </c>
      <c r="E11" s="251"/>
      <c r="F11" s="251"/>
      <c r="G11" s="42"/>
      <c r="H11" s="149"/>
      <c r="I11" s="252"/>
      <c r="J11" s="149"/>
      <c r="K11" s="150" t="str">
        <f>IF(IFERROR(VLOOKUP($J11,lists!$C$2:$E$4,3,FALSE),"")="NULL",FALSE,IFERROR(VLOOKUP($J11,lists!$C$2:$E$4,3,FALSE),""))</f>
        <v/>
      </c>
    </row>
    <row r="12" spans="1:11" s="502" customFormat="1" ht="21" customHeight="1" x14ac:dyDescent="0.25">
      <c r="A12" s="145" t="str">
        <f t="shared" si="0"/>
        <v/>
      </c>
      <c r="B12" s="146" t="str">
        <f>IF(SUMPRODUCT(ISBLANK($E12:$J12)*1)&lt;6,spe_db_register!$D$6,"")</f>
        <v/>
      </c>
      <c r="C12" s="147" t="str">
        <f>IF(SUMPRODUCT(ISBLANK($E12:$J12)*1)&lt;6,spe_db_register!$D$9,"")</f>
        <v/>
      </c>
      <c r="D12" s="148" t="str">
        <f t="shared" si="1"/>
        <v/>
      </c>
      <c r="E12" s="251"/>
      <c r="F12" s="251"/>
      <c r="G12" s="42"/>
      <c r="H12" s="149"/>
      <c r="I12" s="252"/>
      <c r="J12" s="149"/>
      <c r="K12" s="150" t="str">
        <f>IF(IFERROR(VLOOKUP($J12,lists!$C$2:$E$4,3,FALSE),"")="NULL",FALSE,IFERROR(VLOOKUP($J12,lists!$C$2:$E$4,3,FALSE),""))</f>
        <v/>
      </c>
    </row>
    <row r="13" spans="1:11" s="502" customFormat="1" ht="21" customHeight="1" x14ac:dyDescent="0.25">
      <c r="A13" s="145" t="str">
        <f t="shared" si="0"/>
        <v/>
      </c>
      <c r="B13" s="146" t="str">
        <f>IF(SUMPRODUCT(ISBLANK($E13:$J13)*1)&lt;6,spe_db_register!$D$6,"")</f>
        <v/>
      </c>
      <c r="C13" s="147" t="str">
        <f>IF(SUMPRODUCT(ISBLANK($E13:$J13)*1)&lt;6,spe_db_register!$D$9,"")</f>
        <v/>
      </c>
      <c r="D13" s="148" t="str">
        <f t="shared" si="1"/>
        <v/>
      </c>
      <c r="E13" s="251"/>
      <c r="F13" s="251"/>
      <c r="G13" s="42"/>
      <c r="H13" s="149"/>
      <c r="I13" s="252"/>
      <c r="J13" s="149"/>
      <c r="K13" s="150" t="str">
        <f>IF(IFERROR(VLOOKUP($J13,lists!$C$2:$E$4,3,FALSE),"")="NULL",FALSE,IFERROR(VLOOKUP($J13,lists!$C$2:$E$4,3,FALSE),""))</f>
        <v/>
      </c>
    </row>
    <row r="14" spans="1:11" s="502" customFormat="1" ht="21" customHeight="1" x14ac:dyDescent="0.25">
      <c r="A14" s="145" t="str">
        <f t="shared" si="0"/>
        <v/>
      </c>
      <c r="B14" s="146" t="str">
        <f>IF(SUMPRODUCT(ISBLANK($E14:$J14)*1)&lt;6,spe_db_register!$D$6,"")</f>
        <v/>
      </c>
      <c r="C14" s="147" t="str">
        <f>IF(SUMPRODUCT(ISBLANK($E14:$J14)*1)&lt;6,spe_db_register!$D$9,"")</f>
        <v/>
      </c>
      <c r="D14" s="148" t="str">
        <f t="shared" si="1"/>
        <v/>
      </c>
      <c r="E14" s="251"/>
      <c r="F14" s="251"/>
      <c r="G14" s="42"/>
      <c r="H14" s="149"/>
      <c r="I14" s="252"/>
      <c r="J14" s="149"/>
      <c r="K14" s="150" t="str">
        <f>IF(IFERROR(VLOOKUP($J14,lists!$C$2:$E$4,3,FALSE),"")="NULL",FALSE,IFERROR(VLOOKUP($J14,lists!$C$2:$E$4,3,FALSE),""))</f>
        <v/>
      </c>
    </row>
    <row r="15" spans="1:11" s="502" customFormat="1" ht="21" customHeight="1" x14ac:dyDescent="0.25">
      <c r="A15" s="145" t="str">
        <f t="shared" si="0"/>
        <v/>
      </c>
      <c r="B15" s="146" t="str">
        <f>IF(SUMPRODUCT(ISBLANK($E15:$J15)*1)&lt;6,spe_db_register!$D$6,"")</f>
        <v/>
      </c>
      <c r="C15" s="147" t="str">
        <f>IF(SUMPRODUCT(ISBLANK($E15:$J15)*1)&lt;6,spe_db_register!$D$9,"")</f>
        <v/>
      </c>
      <c r="D15" s="148" t="str">
        <f t="shared" si="1"/>
        <v/>
      </c>
      <c r="E15" s="251"/>
      <c r="F15" s="251"/>
      <c r="G15" s="42"/>
      <c r="H15" s="149"/>
      <c r="I15" s="252"/>
      <c r="J15" s="149"/>
      <c r="K15" s="150" t="str">
        <f>IF(IFERROR(VLOOKUP($J15,lists!$C$2:$E$4,3,FALSE),"")="NULL",FALSE,IFERROR(VLOOKUP($J15,lists!$C$2:$E$4,3,FALSE),""))</f>
        <v/>
      </c>
    </row>
    <row r="16" spans="1:11" s="502" customFormat="1" ht="21" customHeight="1" x14ac:dyDescent="0.25">
      <c r="A16" s="145" t="str">
        <f t="shared" si="0"/>
        <v/>
      </c>
      <c r="B16" s="146" t="str">
        <f>IF(SUMPRODUCT(ISBLANK($E16:$J16)*1)&lt;6,spe_db_register!$D$6,"")</f>
        <v/>
      </c>
      <c r="C16" s="147" t="str">
        <f>IF(SUMPRODUCT(ISBLANK($E16:$J16)*1)&lt;6,spe_db_register!$D$9,"")</f>
        <v/>
      </c>
      <c r="D16" s="148" t="str">
        <f t="shared" si="1"/>
        <v/>
      </c>
      <c r="E16" s="251"/>
      <c r="F16" s="251"/>
      <c r="G16" s="42"/>
      <c r="H16" s="149"/>
      <c r="I16" s="252"/>
      <c r="J16" s="149"/>
      <c r="K16" s="150" t="str">
        <f>IF(IFERROR(VLOOKUP($J16,lists!$C$2:$E$4,3,FALSE),"")="NULL",FALSE,IFERROR(VLOOKUP($J16,lists!$C$2:$E$4,3,FALSE),""))</f>
        <v/>
      </c>
    </row>
    <row r="17" spans="1:11" s="502" customFormat="1" ht="21" customHeight="1" x14ac:dyDescent="0.25">
      <c r="A17" s="145" t="str">
        <f t="shared" si="0"/>
        <v/>
      </c>
      <c r="B17" s="146" t="str">
        <f>IF(SUMPRODUCT(ISBLANK($E17:$J17)*1)&lt;6,spe_db_register!$D$6,"")</f>
        <v/>
      </c>
      <c r="C17" s="147" t="str">
        <f>IF(SUMPRODUCT(ISBLANK($E17:$J17)*1)&lt;6,spe_db_register!$D$9,"")</f>
        <v/>
      </c>
      <c r="D17" s="148" t="str">
        <f t="shared" si="1"/>
        <v/>
      </c>
      <c r="E17" s="251"/>
      <c r="F17" s="251"/>
      <c r="G17" s="42"/>
      <c r="H17" s="149"/>
      <c r="I17" s="252"/>
      <c r="J17" s="149"/>
      <c r="K17" s="150" t="str">
        <f>IF(IFERROR(VLOOKUP($J17,lists!$C$2:$E$4,3,FALSE),"")="NULL",FALSE,IFERROR(VLOOKUP($J17,lists!$C$2:$E$4,3,FALSE),""))</f>
        <v/>
      </c>
    </row>
    <row r="18" spans="1:11" s="502" customFormat="1" ht="21" customHeight="1" x14ac:dyDescent="0.25">
      <c r="A18" s="145" t="str">
        <f t="shared" si="0"/>
        <v/>
      </c>
      <c r="B18" s="146" t="str">
        <f>IF(SUMPRODUCT(ISBLANK($E18:$J18)*1)&lt;6,spe_db_register!$D$6,"")</f>
        <v/>
      </c>
      <c r="C18" s="147" t="str">
        <f>IF(SUMPRODUCT(ISBLANK($E18:$J18)*1)&lt;6,spe_db_register!$D$9,"")</f>
        <v/>
      </c>
      <c r="D18" s="148" t="str">
        <f t="shared" si="1"/>
        <v/>
      </c>
      <c r="E18" s="251"/>
      <c r="F18" s="251"/>
      <c r="G18" s="42"/>
      <c r="H18" s="149"/>
      <c r="I18" s="252"/>
      <c r="J18" s="149"/>
      <c r="K18" s="150" t="str">
        <f>IF(IFERROR(VLOOKUP($J18,lists!$C$2:$E$4,3,FALSE),"")="NULL",FALSE,IFERROR(VLOOKUP($J18,lists!$C$2:$E$4,3,FALSE),""))</f>
        <v/>
      </c>
    </row>
    <row r="19" spans="1:11" s="502" customFormat="1" ht="21" customHeight="1" x14ac:dyDescent="0.25">
      <c r="A19" s="145" t="str">
        <f t="shared" si="0"/>
        <v/>
      </c>
      <c r="B19" s="146" t="str">
        <f>IF(SUMPRODUCT(ISBLANK($E19:$J19)*1)&lt;6,spe_db_register!$D$6,"")</f>
        <v/>
      </c>
      <c r="C19" s="147" t="str">
        <f>IF(SUMPRODUCT(ISBLANK($E19:$J19)*1)&lt;6,spe_db_register!$D$9,"")</f>
        <v/>
      </c>
      <c r="D19" s="148" t="str">
        <f t="shared" si="1"/>
        <v/>
      </c>
      <c r="E19" s="251"/>
      <c r="F19" s="251"/>
      <c r="G19" s="42"/>
      <c r="H19" s="149"/>
      <c r="I19" s="252"/>
      <c r="J19" s="149"/>
      <c r="K19" s="150" t="str">
        <f>IF(IFERROR(VLOOKUP($J19,lists!$C$2:$E$4,3,FALSE),"")="NULL",FALSE,IFERROR(VLOOKUP($J19,lists!$C$2:$E$4,3,FALSE),""))</f>
        <v/>
      </c>
    </row>
    <row r="20" spans="1:11" s="502" customFormat="1" ht="21" customHeight="1" x14ac:dyDescent="0.25">
      <c r="A20" s="145" t="str">
        <f t="shared" si="0"/>
        <v/>
      </c>
      <c r="B20" s="146" t="str">
        <f>IF(SUMPRODUCT(ISBLANK($E20:$J20)*1)&lt;6,spe_db_register!$D$6,"")</f>
        <v/>
      </c>
      <c r="C20" s="147" t="str">
        <f>IF(SUMPRODUCT(ISBLANK($E20:$J20)*1)&lt;6,spe_db_register!$D$9,"")</f>
        <v/>
      </c>
      <c r="D20" s="148" t="str">
        <f t="shared" si="1"/>
        <v/>
      </c>
      <c r="E20" s="251"/>
      <c r="F20" s="251"/>
      <c r="G20" s="42"/>
      <c r="H20" s="149"/>
      <c r="I20" s="252"/>
      <c r="J20" s="149"/>
      <c r="K20" s="150" t="str">
        <f>IF(IFERROR(VLOOKUP($J20,lists!$C$2:$E$4,3,FALSE),"")="NULL",FALSE,IFERROR(VLOOKUP($J20,lists!$C$2:$E$4,3,FALSE),""))</f>
        <v/>
      </c>
    </row>
    <row r="21" spans="1:11" s="502" customFormat="1" ht="21" customHeight="1" x14ac:dyDescent="0.25">
      <c r="A21" s="145" t="str">
        <f t="shared" si="0"/>
        <v/>
      </c>
      <c r="B21" s="146" t="str">
        <f>IF(SUMPRODUCT(ISBLANK($E21:$J21)*1)&lt;6,spe_db_register!$D$6,"")</f>
        <v/>
      </c>
      <c r="C21" s="147" t="str">
        <f>IF(SUMPRODUCT(ISBLANK($E21:$J21)*1)&lt;6,spe_db_register!$D$9,"")</f>
        <v/>
      </c>
      <c r="D21" s="148" t="str">
        <f t="shared" si="1"/>
        <v/>
      </c>
      <c r="E21" s="251"/>
      <c r="F21" s="251"/>
      <c r="G21" s="42"/>
      <c r="H21" s="149"/>
      <c r="I21" s="252"/>
      <c r="J21" s="149"/>
      <c r="K21" s="150" t="str">
        <f>IF(IFERROR(VLOOKUP($J21,lists!$C$2:$E$4,3,FALSE),"")="NULL",FALSE,IFERROR(VLOOKUP($J21,lists!$C$2:$E$4,3,FALSE),""))</f>
        <v/>
      </c>
    </row>
    <row r="22" spans="1:11" s="502" customFormat="1" ht="21" customHeight="1" x14ac:dyDescent="0.25">
      <c r="A22" s="145" t="str">
        <f t="shared" si="0"/>
        <v/>
      </c>
      <c r="B22" s="146" t="str">
        <f>IF(SUMPRODUCT(ISBLANK($E22:$J22)*1)&lt;6,spe_db_register!$D$6,"")</f>
        <v/>
      </c>
      <c r="C22" s="147" t="str">
        <f>IF(SUMPRODUCT(ISBLANK($E22:$J22)*1)&lt;6,spe_db_register!$D$9,"")</f>
        <v/>
      </c>
      <c r="D22" s="148" t="str">
        <f t="shared" si="1"/>
        <v/>
      </c>
      <c r="E22" s="251"/>
      <c r="F22" s="251"/>
      <c r="G22" s="42"/>
      <c r="H22" s="149"/>
      <c r="I22" s="252"/>
      <c r="J22" s="149"/>
      <c r="K22" s="150" t="str">
        <f>IF(IFERROR(VLOOKUP($J22,lists!$C$2:$E$4,3,FALSE),"")="NULL",FALSE,IFERROR(VLOOKUP($J22,lists!$C$2:$E$4,3,FALSE),""))</f>
        <v/>
      </c>
    </row>
    <row r="23" spans="1:11" s="502" customFormat="1" ht="21" customHeight="1" x14ac:dyDescent="0.25">
      <c r="A23" s="145" t="str">
        <f t="shared" si="0"/>
        <v/>
      </c>
      <c r="B23" s="146" t="str">
        <f>IF(SUMPRODUCT(ISBLANK($E23:$J23)*1)&lt;6,spe_db_register!$D$6,"")</f>
        <v/>
      </c>
      <c r="C23" s="147" t="str">
        <f>IF(SUMPRODUCT(ISBLANK($E23:$J23)*1)&lt;6,spe_db_register!$D$9,"")</f>
        <v/>
      </c>
      <c r="D23" s="148" t="str">
        <f t="shared" si="1"/>
        <v/>
      </c>
      <c r="E23" s="251"/>
      <c r="F23" s="251"/>
      <c r="G23" s="42"/>
      <c r="H23" s="149"/>
      <c r="I23" s="252"/>
      <c r="J23" s="149"/>
      <c r="K23" s="150" t="str">
        <f>IF(IFERROR(VLOOKUP($J23,lists!$C$2:$E$4,3,FALSE),"")="NULL",FALSE,IFERROR(VLOOKUP($J23,lists!$C$2:$E$4,3,FALSE),""))</f>
        <v/>
      </c>
    </row>
    <row r="24" spans="1:11" s="502" customFormat="1" ht="21" customHeight="1" x14ac:dyDescent="0.25">
      <c r="A24" s="145" t="str">
        <f t="shared" si="0"/>
        <v/>
      </c>
      <c r="B24" s="146" t="str">
        <f>IF(SUMPRODUCT(ISBLANK($E24:$J24)*1)&lt;6,spe_db_register!$D$6,"")</f>
        <v/>
      </c>
      <c r="C24" s="147" t="str">
        <f>IF(SUMPRODUCT(ISBLANK($E24:$J24)*1)&lt;6,spe_db_register!$D$9,"")</f>
        <v/>
      </c>
      <c r="D24" s="148" t="str">
        <f t="shared" si="1"/>
        <v/>
      </c>
      <c r="E24" s="251"/>
      <c r="F24" s="251"/>
      <c r="G24" s="42"/>
      <c r="H24" s="149"/>
      <c r="I24" s="252"/>
      <c r="J24" s="149"/>
      <c r="K24" s="150" t="str">
        <f>IF(IFERROR(VLOOKUP($J24,lists!$C$2:$E$4,3,FALSE),"")="NULL",FALSE,IFERROR(VLOOKUP($J24,lists!$C$2:$E$4,3,FALSE),""))</f>
        <v/>
      </c>
    </row>
    <row r="25" spans="1:11" s="502" customFormat="1" ht="21" customHeight="1" x14ac:dyDescent="0.25">
      <c r="A25" s="145" t="str">
        <f t="shared" si="0"/>
        <v/>
      </c>
      <c r="B25" s="146" t="str">
        <f>IF(SUMPRODUCT(ISBLANK($E25:$J25)*1)&lt;6,spe_db_register!$D$6,"")</f>
        <v/>
      </c>
      <c r="C25" s="147" t="str">
        <f>IF(SUMPRODUCT(ISBLANK($E25:$J25)*1)&lt;6,spe_db_register!$D$9,"")</f>
        <v/>
      </c>
      <c r="D25" s="148" t="str">
        <f t="shared" si="1"/>
        <v/>
      </c>
      <c r="E25" s="251"/>
      <c r="F25" s="251"/>
      <c r="G25" s="42"/>
      <c r="H25" s="149"/>
      <c r="I25" s="252"/>
      <c r="J25" s="149"/>
      <c r="K25" s="150" t="str">
        <f>IF(IFERROR(VLOOKUP($J25,lists!$C$2:$E$4,3,FALSE),"")="NULL",FALSE,IFERROR(VLOOKUP($J25,lists!$C$2:$E$4,3,FALSE),""))</f>
        <v/>
      </c>
    </row>
    <row r="26" spans="1:11" s="502" customFormat="1" ht="21" customHeight="1" x14ac:dyDescent="0.25">
      <c r="A26" s="145" t="str">
        <f t="shared" si="0"/>
        <v/>
      </c>
      <c r="B26" s="146" t="str">
        <f>IF(SUMPRODUCT(ISBLANK($E26:$J26)*1)&lt;6,spe_db_register!$D$6,"")</f>
        <v/>
      </c>
      <c r="C26" s="147" t="str">
        <f>IF(SUMPRODUCT(ISBLANK($E26:$J26)*1)&lt;6,spe_db_register!$D$9,"")</f>
        <v/>
      </c>
      <c r="D26" s="148" t="str">
        <f t="shared" si="1"/>
        <v/>
      </c>
      <c r="E26" s="251"/>
      <c r="F26" s="251"/>
      <c r="G26" s="42"/>
      <c r="H26" s="149"/>
      <c r="I26" s="252"/>
      <c r="J26" s="149"/>
      <c r="K26" s="150" t="str">
        <f>IF(IFERROR(VLOOKUP($J26,lists!$C$2:$E$4,3,FALSE),"")="NULL",FALSE,IFERROR(VLOOKUP($J26,lists!$C$2:$E$4,3,FALSE),""))</f>
        <v/>
      </c>
    </row>
  </sheetData>
  <sheetProtection algorithmName="SHA-512" hashValue="vnm4Kzh9iB/nYPgKHX9DJEXM6kOTPpuOUx2wnVefnlg1VE291J6BmCUptENSBtKLAC1eA09Dc3Dn52XPUZCK0g==" saltValue="02QHViatBIsEaUGsm31faw==" spinCount="100000" sheet="1" objects="1" scenarios="1"/>
  <autoFilter ref="B1:K1"/>
  <dataValidations count="1">
    <dataValidation type="textLength" errorStyle="warning" operator="equal" allowBlank="1" showErrorMessage="1" errorTitle="LEI" error="LEI Code must be exactly 20 characters in length." sqref="F2:F26">
      <formula1>20</formula1>
    </dataValidation>
  </dataValidations>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extLst>
    <ext xmlns:x14="http://schemas.microsoft.com/office/spreadsheetml/2009/9/main" uri="{CCE6A557-97BC-4b89-ADB6-D9C93CAAB3DF}">
      <x14:dataValidations xmlns:xm="http://schemas.microsoft.com/office/excel/2006/main" count="3">
        <x14:dataValidation type="list" errorStyle="warning" showErrorMessage="1" errorTitle="Country" error="Select Country from List">
          <x14:formula1>
            <xm:f>lists!$S$2:$S$249</xm:f>
          </x14:formula1>
          <xm:sqref>G2:G26</xm:sqref>
        </x14:dataValidation>
        <x14:dataValidation type="list" errorStyle="warning" allowBlank="1" showInputMessage="1" showErrorMessage="1" errorTitle="Sector" error="Select Sector from List">
          <x14:formula1>
            <xm:f>lists!$U$2:$U$15</xm:f>
          </x14:formula1>
          <xm:sqref>H2:H26</xm:sqref>
        </x14:dataValidation>
        <x14:dataValidation type="list" allowBlank="1">
          <x14:formula1>
            <xm:f>lists!$C$2:$C$4</xm:f>
          </x14:formula1>
          <xm:sqref>J2:J26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tint="-4.9989318521683403E-2"/>
    <pageSetUpPr autoPageBreaks="0"/>
  </sheetPr>
  <dimension ref="A1:AZ55"/>
  <sheetViews>
    <sheetView showGridLines="0" workbookViewId="0">
      <selection activeCell="AZ3" sqref="AZ3"/>
    </sheetView>
  </sheetViews>
  <sheetFormatPr defaultColWidth="0" defaultRowHeight="10.5" customHeight="1" zeroHeight="1" x14ac:dyDescent="0.25"/>
  <cols>
    <col min="1" max="1" width="15.6640625" customWidth="1"/>
    <col min="2" max="2" width="29.88671875" bestFit="1" customWidth="1"/>
    <col min="3" max="3" width="17.5546875" customWidth="1"/>
    <col min="4" max="4" width="40.6640625" customWidth="1"/>
    <col min="5" max="5" width="19.5546875" bestFit="1" customWidth="1"/>
    <col min="6" max="6" width="40.6640625" customWidth="1"/>
    <col min="7" max="7" width="24.5546875" bestFit="1" customWidth="1"/>
    <col min="8" max="8" width="21" bestFit="1" customWidth="1"/>
    <col min="9" max="9" width="23.6640625" bestFit="1" customWidth="1"/>
    <col min="10" max="10" width="22" bestFit="1" customWidth="1"/>
    <col min="11" max="11" width="28.109375" bestFit="1" customWidth="1"/>
    <col min="12" max="12" width="30" bestFit="1" customWidth="1"/>
    <col min="13" max="13" width="28" bestFit="1" customWidth="1"/>
    <col min="14" max="20" width="15.6640625" customWidth="1"/>
    <col min="21" max="21" width="28.109375" bestFit="1" customWidth="1"/>
    <col min="22" max="22" width="40.5546875" bestFit="1" customWidth="1"/>
    <col min="23" max="23" width="30.6640625" customWidth="1"/>
    <col min="24" max="24" width="15.6640625" customWidth="1"/>
    <col min="25" max="25" width="25.6640625" customWidth="1"/>
    <col min="26" max="26" width="20.6640625" customWidth="1"/>
    <col min="27" max="27" width="30.6640625" customWidth="1"/>
    <col min="28" max="28" width="15.6640625" bestFit="1" customWidth="1"/>
    <col min="29" max="29" width="20.6640625" customWidth="1"/>
    <col min="30" max="30" width="25.5546875" bestFit="1" customWidth="1"/>
    <col min="31" max="31" width="22" bestFit="1" customWidth="1"/>
    <col min="32" max="32" width="22.88671875" bestFit="1" customWidth="1"/>
    <col min="33" max="33" width="24.5546875" bestFit="1" customWidth="1"/>
    <col min="34" max="34" width="19.44140625" bestFit="1" customWidth="1"/>
    <col min="35" max="35" width="24" bestFit="1" customWidth="1"/>
    <col min="36" max="36" width="25.109375" bestFit="1" customWidth="1"/>
    <col min="37" max="39" width="19.44140625" bestFit="1" customWidth="1"/>
    <col min="40" max="41" width="40.6640625" customWidth="1"/>
    <col min="42" max="42" width="14.6640625" bestFit="1" customWidth="1"/>
    <col min="43" max="43" width="24.44140625" bestFit="1" customWidth="1"/>
    <col min="44" max="44" width="23.5546875" bestFit="1" customWidth="1"/>
    <col min="45" max="45" width="23.5546875" customWidth="1"/>
    <col min="46" max="46" width="13.33203125" bestFit="1" customWidth="1"/>
    <col min="47" max="47" width="19.33203125" bestFit="1" customWidth="1"/>
    <col min="48" max="48" width="21" bestFit="1" customWidth="1"/>
    <col min="49" max="49" width="25" customWidth="1"/>
    <col min="50" max="52" width="22.6640625" bestFit="1" customWidth="1"/>
    <col min="53" max="16384" width="9.109375" hidden="1"/>
  </cols>
  <sheetData>
    <row r="1" spans="1:52" ht="21" customHeight="1" x14ac:dyDescent="0.25">
      <c r="A1" s="531" t="s">
        <v>1380</v>
      </c>
      <c r="B1" s="347" t="s">
        <v>1391</v>
      </c>
      <c r="C1" s="347" t="s">
        <v>1381</v>
      </c>
      <c r="D1" s="347" t="s">
        <v>1337</v>
      </c>
      <c r="E1" s="347" t="s">
        <v>1392</v>
      </c>
      <c r="F1" s="347" t="s">
        <v>1382</v>
      </c>
      <c r="G1" s="154" t="s">
        <v>1290</v>
      </c>
      <c r="H1" s="133" t="s">
        <v>1389</v>
      </c>
      <c r="I1" s="133" t="s">
        <v>1284</v>
      </c>
      <c r="J1" s="133" t="s">
        <v>1309</v>
      </c>
      <c r="K1" s="133" t="s">
        <v>1316</v>
      </c>
      <c r="L1" s="133" t="s">
        <v>1283</v>
      </c>
      <c r="M1" s="133" t="s">
        <v>1498</v>
      </c>
      <c r="N1" s="133" t="s">
        <v>1393</v>
      </c>
      <c r="O1" s="133" t="s">
        <v>1394</v>
      </c>
      <c r="P1" s="133" t="s">
        <v>908</v>
      </c>
      <c r="Q1" s="133" t="s">
        <v>909</v>
      </c>
      <c r="R1" s="133" t="s">
        <v>1395</v>
      </c>
      <c r="S1" s="133" t="s">
        <v>1396</v>
      </c>
      <c r="T1" s="133" t="s">
        <v>1397</v>
      </c>
      <c r="U1" s="133" t="s">
        <v>1471</v>
      </c>
      <c r="V1" s="154" t="s">
        <v>1341</v>
      </c>
      <c r="W1" s="133" t="s">
        <v>1398</v>
      </c>
      <c r="X1" s="155" t="s">
        <v>1342</v>
      </c>
      <c r="Y1" s="133" t="s">
        <v>1399</v>
      </c>
      <c r="Z1" s="133" t="s">
        <v>1400</v>
      </c>
      <c r="AA1" s="133" t="s">
        <v>1401</v>
      </c>
      <c r="AB1" s="133" t="s">
        <v>1402</v>
      </c>
      <c r="AC1" s="133" t="s">
        <v>1403</v>
      </c>
      <c r="AD1" s="133" t="s">
        <v>1404</v>
      </c>
      <c r="AE1" s="133" t="s">
        <v>1405</v>
      </c>
      <c r="AF1" s="133" t="s">
        <v>1349</v>
      </c>
      <c r="AG1" s="133" t="s">
        <v>1348</v>
      </c>
      <c r="AH1" s="133" t="s">
        <v>1410</v>
      </c>
      <c r="AI1" s="133" t="s">
        <v>1411</v>
      </c>
      <c r="AJ1" s="133" t="s">
        <v>1412</v>
      </c>
      <c r="AK1" s="459" t="s">
        <v>1536</v>
      </c>
      <c r="AL1" s="459" t="s">
        <v>1537</v>
      </c>
      <c r="AM1" s="459" t="s">
        <v>1538</v>
      </c>
      <c r="AN1" s="459" t="s">
        <v>1539</v>
      </c>
      <c r="AO1" s="459" t="s">
        <v>1540</v>
      </c>
      <c r="AP1" s="133" t="s">
        <v>1413</v>
      </c>
      <c r="AQ1" s="133" t="s">
        <v>1414</v>
      </c>
      <c r="AR1" s="133" t="s">
        <v>1415</v>
      </c>
      <c r="AS1" s="414" t="s">
        <v>1521</v>
      </c>
      <c r="AT1" s="133" t="s">
        <v>1360</v>
      </c>
      <c r="AU1" s="133" t="s">
        <v>1361</v>
      </c>
      <c r="AV1" s="133" t="s">
        <v>1362</v>
      </c>
      <c r="AW1" s="133" t="s">
        <v>1363</v>
      </c>
      <c r="AX1" s="133" t="s">
        <v>1364</v>
      </c>
      <c r="AY1" s="133" t="s">
        <v>1367</v>
      </c>
      <c r="AZ1" s="530" t="s">
        <v>1566</v>
      </c>
    </row>
    <row r="2" spans="1:52" ht="21" customHeight="1" x14ac:dyDescent="0.25">
      <c r="A2" s="532" t="s">
        <v>1390</v>
      </c>
      <c r="B2" s="533" t="str">
        <f>D5</f>
        <v>XXX</v>
      </c>
      <c r="C2" s="533">
        <f>D6</f>
        <v>0</v>
      </c>
      <c r="D2" s="534" t="str">
        <f>D7</f>
        <v/>
      </c>
      <c r="E2" s="535">
        <f>D8</f>
        <v>0</v>
      </c>
      <c r="F2" s="535" t="str">
        <f>D9</f>
        <v/>
      </c>
      <c r="G2" s="536" t="str">
        <f>D10</f>
        <v/>
      </c>
      <c r="H2" s="536" t="b">
        <f>$D$11</f>
        <v>0</v>
      </c>
      <c r="I2" s="537">
        <f ca="1">D12</f>
        <v>44652</v>
      </c>
      <c r="J2" s="538">
        <f>D13</f>
        <v>401768</v>
      </c>
      <c r="K2" s="536" t="str">
        <f>D14</f>
        <v/>
      </c>
      <c r="L2" s="536" t="str">
        <f>D15</f>
        <v/>
      </c>
      <c r="M2" s="536" t="str">
        <f>[1]spe_registration!$I$117</f>
        <v>05/08/2022 13:31:02.57</v>
      </c>
      <c r="N2" s="539" t="str">
        <f>D17</f>
        <v/>
      </c>
      <c r="O2" s="539" t="str">
        <f>D18</f>
        <v/>
      </c>
      <c r="P2" s="539" t="str">
        <f>D19</f>
        <v/>
      </c>
      <c r="Q2" s="539" t="str">
        <f>D20</f>
        <v/>
      </c>
      <c r="R2" s="535" t="str">
        <f>D21</f>
        <v/>
      </c>
      <c r="S2" s="535" t="str">
        <f>D22</f>
        <v/>
      </c>
      <c r="T2" s="536" t="str">
        <f>D23</f>
        <v>IE</v>
      </c>
      <c r="U2" s="540" t="str">
        <f>D24</f>
        <v>FALSE</v>
      </c>
      <c r="V2" s="536" t="str">
        <f>D25</f>
        <v>Vehicle Activity To Be Confirmed</v>
      </c>
      <c r="W2" s="534" t="str">
        <f>D26</f>
        <v/>
      </c>
      <c r="X2" s="536" t="str">
        <f>D27</f>
        <v>XXX</v>
      </c>
      <c r="Y2" s="536" t="b">
        <f>D28</f>
        <v>0</v>
      </c>
      <c r="Z2" s="536" t="str">
        <f>D29</f>
        <v/>
      </c>
      <c r="AA2" s="534" t="str">
        <f>D30</f>
        <v/>
      </c>
      <c r="AB2" s="536" t="b">
        <f>D31</f>
        <v>0</v>
      </c>
      <c r="AC2" s="536" t="b">
        <f>D32</f>
        <v>0</v>
      </c>
      <c r="AD2" s="536" t="b">
        <f>D33</f>
        <v>0</v>
      </c>
      <c r="AE2" s="536">
        <f>D34</f>
        <v>0</v>
      </c>
      <c r="AF2" s="541">
        <f>D35</f>
        <v>0</v>
      </c>
      <c r="AG2" s="541">
        <f>D36</f>
        <v>0</v>
      </c>
      <c r="AH2" s="536" t="b">
        <f>D37</f>
        <v>0</v>
      </c>
      <c r="AI2" s="536" t="b">
        <f>D38</f>
        <v>0</v>
      </c>
      <c r="AJ2" s="536" t="str">
        <f>D39</f>
        <v>XX</v>
      </c>
      <c r="AK2" s="536" t="b">
        <f>D40</f>
        <v>0</v>
      </c>
      <c r="AL2" s="536" t="b">
        <f>D41</f>
        <v>0</v>
      </c>
      <c r="AM2" s="536" t="b">
        <f>D42</f>
        <v>0</v>
      </c>
      <c r="AN2" s="542" t="str">
        <f>D43</f>
        <v/>
      </c>
      <c r="AO2" s="542" t="str">
        <f>D44</f>
        <v/>
      </c>
      <c r="AP2" s="536" t="b">
        <f>D45</f>
        <v>0</v>
      </c>
      <c r="AQ2" s="543" t="str">
        <f>D46</f>
        <v/>
      </c>
      <c r="AR2" s="536" t="b">
        <f>D47</f>
        <v>0</v>
      </c>
      <c r="AS2" s="544" t="b">
        <f>D48</f>
        <v>0</v>
      </c>
      <c r="AT2" s="545" t="str">
        <f ca="1">D49</f>
        <v>16/08/2022</v>
      </c>
      <c r="AU2" s="534" t="str">
        <f>D50</f>
        <v/>
      </c>
      <c r="AV2" s="534" t="str">
        <f>D51</f>
        <v/>
      </c>
      <c r="AW2" s="534" t="str">
        <f>D52</f>
        <v/>
      </c>
      <c r="AX2" s="535" t="str">
        <f>D53</f>
        <v/>
      </c>
      <c r="AY2" s="535" t="b">
        <f>D54</f>
        <v>1</v>
      </c>
      <c r="AZ2" s="535">
        <v>13</v>
      </c>
    </row>
    <row r="3" spans="1:52" ht="21" customHeight="1" x14ac:dyDescent="0.25">
      <c r="A3" s="546"/>
      <c r="B3" s="546"/>
      <c r="C3" s="547"/>
      <c r="D3" s="547"/>
      <c r="E3" s="547"/>
      <c r="F3" s="547"/>
      <c r="G3" s="547"/>
      <c r="H3" s="547"/>
      <c r="I3" s="547"/>
      <c r="J3" s="547"/>
      <c r="K3" s="547"/>
      <c r="L3" s="547"/>
      <c r="M3" s="547"/>
      <c r="N3" s="547"/>
      <c r="O3" s="547"/>
      <c r="P3" s="547"/>
      <c r="Q3" s="547"/>
      <c r="R3" s="547"/>
      <c r="S3" s="547"/>
      <c r="T3" s="547"/>
      <c r="U3" s="547"/>
      <c r="V3" s="547"/>
      <c r="W3" s="547"/>
      <c r="X3" s="547"/>
      <c r="Y3" s="547"/>
      <c r="Z3" s="547"/>
      <c r="AA3" s="547"/>
      <c r="AB3" s="547"/>
      <c r="AC3" s="547"/>
      <c r="AD3" s="547"/>
      <c r="AE3" s="547"/>
      <c r="AF3" s="547"/>
      <c r="AG3" s="547"/>
      <c r="AH3" s="547"/>
      <c r="AI3" s="547"/>
      <c r="AJ3" s="547"/>
      <c r="AK3" s="547"/>
      <c r="AL3" s="547"/>
      <c r="AM3" s="547"/>
      <c r="AN3" s="547"/>
      <c r="AO3" s="547"/>
      <c r="AP3" s="547"/>
      <c r="AQ3" s="547"/>
      <c r="AR3" s="547"/>
      <c r="AS3" s="547"/>
      <c r="AT3" s="547"/>
      <c r="AU3" s="547"/>
      <c r="AV3" s="547"/>
      <c r="AW3" s="547"/>
      <c r="AX3" s="547"/>
      <c r="AY3" s="547"/>
      <c r="AZ3" s="547"/>
    </row>
    <row r="4" spans="1:52" ht="10.5" hidden="1" customHeight="1" x14ac:dyDescent="0.25">
      <c r="A4" s="188" t="s">
        <v>1377</v>
      </c>
      <c r="B4" s="188" t="s">
        <v>1409</v>
      </c>
      <c r="C4" s="165" t="s">
        <v>1380</v>
      </c>
      <c r="D4" s="187" t="s">
        <v>1390</v>
      </c>
      <c r="E4" s="187" t="s">
        <v>1429</v>
      </c>
      <c r="F4" s="188" t="s">
        <v>1428</v>
      </c>
      <c r="G4" s="187" t="s">
        <v>1423</v>
      </c>
      <c r="H4" s="187" t="s">
        <v>1424</v>
      </c>
      <c r="I4" s="187" t="s">
        <v>1425</v>
      </c>
      <c r="J4" s="193" t="s">
        <v>1448</v>
      </c>
      <c r="K4" s="194"/>
      <c r="L4" s="189"/>
      <c r="M4" s="429"/>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c r="AO4" s="182"/>
      <c r="AP4" s="182"/>
      <c r="AQ4" s="182"/>
      <c r="AR4" s="182"/>
      <c r="AS4" s="182"/>
      <c r="AT4" s="182"/>
      <c r="AU4" s="182"/>
      <c r="AV4" s="182"/>
      <c r="AW4" s="182"/>
      <c r="AX4" s="182"/>
      <c r="AY4" s="182"/>
      <c r="AZ4" s="182"/>
    </row>
    <row r="5" spans="1:52" ht="10.5" hidden="1" customHeight="1" x14ac:dyDescent="0.25">
      <c r="A5" s="162" t="s">
        <v>1213</v>
      </c>
      <c r="B5" s="402" t="s">
        <v>1230</v>
      </c>
      <c r="C5" s="157" t="s">
        <v>1391</v>
      </c>
      <c r="D5" s="468" t="str">
        <f>spe_registration!$I$3</f>
        <v>XXX</v>
      </c>
      <c r="E5" s="422" t="s">
        <v>1430</v>
      </c>
      <c r="F5" s="167" t="str">
        <f>spe_registration!$L$3</f>
        <v>Please select Vehicle Type from drop-down list.</v>
      </c>
      <c r="G5" s="179" t="s">
        <v>1241</v>
      </c>
      <c r="H5" s="183">
        <v>1</v>
      </c>
      <c r="I5" s="183">
        <v>3</v>
      </c>
      <c r="J5" s="200" t="str">
        <f>spe_registration!$F$3</f>
        <v>N</v>
      </c>
      <c r="K5" s="195"/>
      <c r="L5" s="190"/>
      <c r="M5" s="429"/>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2"/>
      <c r="AW5" s="182"/>
      <c r="AX5" s="182"/>
      <c r="AY5" s="182"/>
      <c r="AZ5" s="182"/>
    </row>
    <row r="6" spans="1:52" ht="10.5" hidden="1" customHeight="1" x14ac:dyDescent="0.25">
      <c r="A6" s="162" t="s">
        <v>1213</v>
      </c>
      <c r="B6" s="402" t="s">
        <v>1506</v>
      </c>
      <c r="C6" s="220" t="s">
        <v>1381</v>
      </c>
      <c r="D6" s="469">
        <f>spe_registration!$I$108</f>
        <v>0</v>
      </c>
      <c r="E6" s="423" t="s">
        <v>1500</v>
      </c>
      <c r="F6" s="166">
        <f>spe_registration!$L$108</f>
        <v>0</v>
      </c>
      <c r="G6" s="180" t="s">
        <v>1308</v>
      </c>
      <c r="H6" s="184">
        <v>0</v>
      </c>
      <c r="I6" s="184">
        <v>999999999</v>
      </c>
      <c r="J6" s="201" t="str">
        <f>spe_registration!$F$108</f>
        <v>N</v>
      </c>
      <c r="K6" s="196"/>
      <c r="L6" s="191"/>
      <c r="M6" s="429"/>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row>
    <row r="7" spans="1:52" ht="10.5" hidden="1" customHeight="1" x14ac:dyDescent="0.25">
      <c r="A7" s="162" t="s">
        <v>1213</v>
      </c>
      <c r="B7" s="402" t="s">
        <v>1211</v>
      </c>
      <c r="C7" s="133" t="s">
        <v>1337</v>
      </c>
      <c r="D7" s="470" t="str">
        <f>IF(spe_registration!$I$7="NULL","",spe_registration!$I$7)</f>
        <v/>
      </c>
      <c r="E7" s="423" t="s">
        <v>1431</v>
      </c>
      <c r="F7" s="166" t="str">
        <f>spe_registration!$L$7</f>
        <v>Please supply Legal Entity Indentifier for vehicle (if available) or leave blank if not.</v>
      </c>
      <c r="G7" s="180" t="s">
        <v>1426</v>
      </c>
      <c r="H7" s="184">
        <v>0</v>
      </c>
      <c r="I7" s="184">
        <v>20</v>
      </c>
      <c r="J7" s="201" t="str">
        <f>spe_registration!$F$7</f>
        <v>Y</v>
      </c>
      <c r="K7" s="196"/>
      <c r="L7" s="191"/>
      <c r="M7" s="429"/>
      <c r="N7" s="182"/>
      <c r="O7" s="182"/>
      <c r="P7" s="182"/>
      <c r="Q7" s="182"/>
      <c r="R7" s="182"/>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row>
    <row r="8" spans="1:52" ht="10.5" hidden="1" customHeight="1" x14ac:dyDescent="0.25">
      <c r="A8" s="162" t="s">
        <v>1213</v>
      </c>
      <c r="B8" s="418" t="s">
        <v>1522</v>
      </c>
      <c r="C8" s="133" t="s">
        <v>1392</v>
      </c>
      <c r="D8" s="470">
        <f>IF(spe_registration!$I$9="NULL",0,spe_registration!$I$9)</f>
        <v>0</v>
      </c>
      <c r="E8" s="423" t="s">
        <v>1433</v>
      </c>
      <c r="F8" s="166" t="str">
        <f>spe_registration!$L$9</f>
        <v>You must supply the Companies Registration Office number for this Irish registered vehicle.</v>
      </c>
      <c r="G8" s="180" t="s">
        <v>1308</v>
      </c>
      <c r="H8" s="184">
        <v>0</v>
      </c>
      <c r="I8" s="184">
        <v>999999</v>
      </c>
      <c r="J8" s="201" t="str">
        <f>spe_registration!$F$9</f>
        <v>N</v>
      </c>
      <c r="K8" s="196"/>
      <c r="L8" s="191"/>
      <c r="M8" s="429"/>
      <c r="N8" s="182"/>
      <c r="O8" s="182"/>
      <c r="P8" s="182"/>
      <c r="Q8" s="182"/>
      <c r="R8" s="182"/>
      <c r="S8" s="182"/>
      <c r="T8" s="182"/>
      <c r="U8" s="182"/>
      <c r="V8" s="182"/>
      <c r="W8" s="182"/>
      <c r="X8" s="182"/>
      <c r="Y8" s="182"/>
      <c r="Z8" s="182"/>
      <c r="AA8" s="182"/>
      <c r="AB8" s="182"/>
      <c r="AC8" s="182"/>
      <c r="AD8" s="182"/>
      <c r="AE8" s="182"/>
      <c r="AF8" s="182"/>
      <c r="AG8" s="182"/>
      <c r="AH8" s="182"/>
      <c r="AI8" s="182"/>
      <c r="AJ8" s="182"/>
      <c r="AK8" s="182"/>
      <c r="AL8" s="182"/>
      <c r="AM8" s="182"/>
      <c r="AN8" s="182"/>
      <c r="AO8" s="182"/>
      <c r="AP8" s="182"/>
      <c r="AQ8" s="182"/>
      <c r="AR8" s="182"/>
      <c r="AS8" s="182"/>
      <c r="AT8" s="182"/>
      <c r="AU8" s="182"/>
      <c r="AV8" s="182"/>
      <c r="AW8" s="182"/>
      <c r="AX8" s="182"/>
      <c r="AY8" s="182"/>
      <c r="AZ8" s="182"/>
    </row>
    <row r="9" spans="1:52" ht="10.5" hidden="1" customHeight="1" x14ac:dyDescent="0.25">
      <c r="A9" s="162" t="s">
        <v>1213</v>
      </c>
      <c r="B9" s="402" t="s">
        <v>917</v>
      </c>
      <c r="C9" s="133" t="s">
        <v>1382</v>
      </c>
      <c r="D9" s="470" t="str">
        <f>IF(spe_registration!$I$5="NULL","",spe_registration!$I$5)</f>
        <v/>
      </c>
      <c r="E9" s="423" t="s">
        <v>1432</v>
      </c>
      <c r="F9" s="166" t="str">
        <f>spe_registration!$L$5</f>
        <v>Please supply full legal name of registered vehicle.</v>
      </c>
      <c r="G9" s="180" t="s">
        <v>1241</v>
      </c>
      <c r="H9" s="184">
        <v>1</v>
      </c>
      <c r="I9" s="184">
        <v>255</v>
      </c>
      <c r="J9" s="201" t="str">
        <f>spe_registration!$F$5</f>
        <v>N</v>
      </c>
      <c r="K9" s="196"/>
      <c r="L9" s="191"/>
      <c r="M9" s="429"/>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S9" s="182"/>
      <c r="AT9" s="182"/>
      <c r="AU9" s="182"/>
      <c r="AV9" s="182"/>
      <c r="AW9" s="182"/>
      <c r="AX9" s="182"/>
      <c r="AY9" s="182"/>
      <c r="AZ9" s="182"/>
    </row>
    <row r="10" spans="1:52" ht="10.5" hidden="1" customHeight="1" x14ac:dyDescent="0.25">
      <c r="A10" s="163" t="s">
        <v>1213</v>
      </c>
      <c r="B10" s="403" t="s">
        <v>1214</v>
      </c>
      <c r="C10" s="156" t="s">
        <v>1290</v>
      </c>
      <c r="D10" s="471" t="str">
        <f>IF(spe_registration!$I$11="NULL","",spe_registration!$I$11)</f>
        <v/>
      </c>
      <c r="E10" s="427" t="s">
        <v>1434</v>
      </c>
      <c r="F10" s="168" t="str">
        <f>spe_registration!$L$11</f>
        <v>Please select Company Type from drop-down list.</v>
      </c>
      <c r="G10" s="181" t="s">
        <v>1241</v>
      </c>
      <c r="H10" s="185">
        <v>1</v>
      </c>
      <c r="I10" s="185">
        <v>64</v>
      </c>
      <c r="J10" s="202" t="str">
        <f>spe_registration!$F$11</f>
        <v>N</v>
      </c>
      <c r="K10" s="197"/>
      <c r="L10" s="192"/>
      <c r="M10" s="429"/>
      <c r="N10" s="182"/>
      <c r="O10" s="182"/>
      <c r="P10" s="182"/>
      <c r="Q10" s="182"/>
      <c r="R10" s="182"/>
      <c r="S10" s="182"/>
      <c r="T10" s="182"/>
      <c r="U10" s="182"/>
      <c r="V10" s="182"/>
      <c r="W10" s="182"/>
      <c r="X10" s="182"/>
      <c r="Y10" s="182"/>
      <c r="Z10" s="182"/>
      <c r="AA10" s="182"/>
      <c r="AB10" s="182"/>
      <c r="AC10" s="182"/>
      <c r="AD10" s="182"/>
      <c r="AE10" s="182"/>
      <c r="AF10" s="182"/>
      <c r="AG10" s="182"/>
      <c r="AH10" s="182"/>
      <c r="AI10" s="182"/>
      <c r="AJ10" s="182"/>
      <c r="AK10" s="182"/>
      <c r="AL10" s="182"/>
      <c r="AM10" s="182"/>
      <c r="AN10" s="182"/>
      <c r="AO10" s="182"/>
      <c r="AP10" s="182"/>
      <c r="AQ10" s="182"/>
      <c r="AR10" s="182"/>
      <c r="AS10" s="182"/>
      <c r="AT10" s="182"/>
      <c r="AU10" s="182"/>
      <c r="AV10" s="182"/>
      <c r="AW10" s="182"/>
      <c r="AX10" s="182"/>
      <c r="AY10" s="182"/>
      <c r="AZ10" s="182"/>
    </row>
    <row r="11" spans="1:52" ht="10.5" hidden="1" customHeight="1" x14ac:dyDescent="0.25">
      <c r="A11" s="162" t="s">
        <v>1378</v>
      </c>
      <c r="B11" s="402" t="s">
        <v>1406</v>
      </c>
      <c r="C11" s="157" t="s">
        <v>1407</v>
      </c>
      <c r="D11" s="472" t="b">
        <f>IF(spe_registration!$I$109="NULL",FALSE,spe_registration!$I$109)</f>
        <v>0</v>
      </c>
      <c r="E11" s="422" t="s">
        <v>1549</v>
      </c>
      <c r="F11" s="167" t="str">
        <f>spe_registration!$L$109</f>
        <v>PLEASE SELECT THE REPORTING STATUS OF THE ENTITY</v>
      </c>
      <c r="G11" s="205" t="s">
        <v>1427</v>
      </c>
      <c r="H11" s="206">
        <v>4</v>
      </c>
      <c r="I11" s="206">
        <v>5</v>
      </c>
      <c r="J11" s="200" t="str">
        <f>spe_registration!$F$109</f>
        <v>N</v>
      </c>
      <c r="K11" s="195"/>
      <c r="L11" s="190"/>
      <c r="M11" s="429"/>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82"/>
      <c r="AN11" s="182"/>
      <c r="AO11" s="182"/>
      <c r="AP11" s="182"/>
      <c r="AQ11" s="182"/>
      <c r="AR11" s="182"/>
      <c r="AS11" s="182"/>
      <c r="AT11" s="182"/>
      <c r="AU11" s="182"/>
      <c r="AV11" s="182"/>
      <c r="AW11" s="182"/>
      <c r="AX11" s="182"/>
      <c r="AY11" s="182"/>
      <c r="AZ11" s="182"/>
    </row>
    <row r="12" spans="1:52" ht="10.5" hidden="1" customHeight="1" x14ac:dyDescent="0.25">
      <c r="A12" s="162" t="s">
        <v>1378</v>
      </c>
      <c r="B12" s="402" t="s">
        <v>1202</v>
      </c>
      <c r="C12" s="133" t="s">
        <v>1284</v>
      </c>
      <c r="D12" s="473">
        <f ca="1">VLOOKUP(spe_registration!$I$110,dates!$E$1:$G$85,3,FALSE)</f>
        <v>44652</v>
      </c>
      <c r="E12" s="423" t="s">
        <v>1550</v>
      </c>
      <c r="F12" s="166">
        <f>spe_registration!$L$110</f>
        <v>0</v>
      </c>
      <c r="G12" s="464" t="s">
        <v>2</v>
      </c>
      <c r="H12" s="465">
        <v>0</v>
      </c>
      <c r="I12" s="465">
        <v>401768</v>
      </c>
      <c r="J12" s="201" t="str">
        <f>spe_registration!$F$110</f>
        <v>Y</v>
      </c>
      <c r="K12" s="196"/>
      <c r="L12" s="191"/>
      <c r="M12" s="429"/>
      <c r="N12" s="182"/>
      <c r="O12" s="182"/>
      <c r="P12" s="182"/>
      <c r="Q12" s="182"/>
      <c r="R12" s="182"/>
      <c r="S12" s="182"/>
      <c r="T12" s="182"/>
      <c r="U12" s="182"/>
      <c r="V12" s="182"/>
      <c r="W12" s="182"/>
      <c r="X12" s="182"/>
      <c r="Y12" s="182"/>
      <c r="Z12" s="182"/>
      <c r="AA12" s="182"/>
      <c r="AB12" s="182"/>
      <c r="AC12" s="182"/>
      <c r="AD12" s="182"/>
      <c r="AE12" s="182"/>
      <c r="AF12" s="182"/>
      <c r="AG12" s="182"/>
      <c r="AH12" s="182"/>
      <c r="AI12" s="182"/>
      <c r="AJ12" s="182"/>
      <c r="AK12" s="182"/>
      <c r="AL12" s="182"/>
      <c r="AM12" s="182"/>
      <c r="AN12" s="182"/>
      <c r="AO12" s="182"/>
      <c r="AP12" s="182"/>
      <c r="AQ12" s="182"/>
      <c r="AR12" s="182"/>
      <c r="AS12" s="182"/>
      <c r="AT12" s="182"/>
      <c r="AU12" s="182"/>
      <c r="AV12" s="182"/>
      <c r="AW12" s="182"/>
      <c r="AX12" s="182"/>
      <c r="AY12" s="182"/>
      <c r="AZ12" s="182"/>
    </row>
    <row r="13" spans="1:52" ht="10.5" hidden="1" customHeight="1" x14ac:dyDescent="0.25">
      <c r="A13" s="162" t="s">
        <v>1378</v>
      </c>
      <c r="B13" s="402" t="s">
        <v>1203</v>
      </c>
      <c r="C13" s="133" t="s">
        <v>1309</v>
      </c>
      <c r="D13" s="473">
        <f>VLOOKUP(spe_registration!$I$111,dates!$E$1:$G$85,3,FALSE)</f>
        <v>401768</v>
      </c>
      <c r="E13" s="423" t="s">
        <v>1499</v>
      </c>
      <c r="F13" s="166" t="str">
        <f>spe_registration!$L$111</f>
        <v/>
      </c>
      <c r="G13" s="464" t="s">
        <v>2</v>
      </c>
      <c r="H13" s="465">
        <v>0</v>
      </c>
      <c r="I13" s="465">
        <v>401768</v>
      </c>
      <c r="J13" s="201" t="str">
        <f>spe_registration!$F$111</f>
        <v>Y</v>
      </c>
      <c r="K13" s="196"/>
      <c r="L13" s="191"/>
      <c r="M13" s="429"/>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2"/>
      <c r="AK13" s="182"/>
      <c r="AL13" s="182"/>
      <c r="AM13" s="182"/>
      <c r="AN13" s="182"/>
      <c r="AO13" s="182"/>
      <c r="AP13" s="182"/>
      <c r="AQ13" s="182"/>
      <c r="AR13" s="182"/>
      <c r="AS13" s="182"/>
      <c r="AT13" s="182"/>
      <c r="AU13" s="182"/>
      <c r="AV13" s="182"/>
      <c r="AW13" s="182"/>
      <c r="AX13" s="182"/>
      <c r="AY13" s="182"/>
      <c r="AZ13" s="182"/>
    </row>
    <row r="14" spans="1:52" ht="10.5" hidden="1" customHeight="1" x14ac:dyDescent="0.25">
      <c r="A14" s="162" t="s">
        <v>1378</v>
      </c>
      <c r="B14" s="402" t="s">
        <v>1310</v>
      </c>
      <c r="C14" s="133" t="s">
        <v>1316</v>
      </c>
      <c r="D14" s="474" t="str">
        <f>IF(spe_registration!$I$113="NULL","",spe_registration!$I$113)</f>
        <v/>
      </c>
      <c r="E14" s="423" t="s">
        <v>1551</v>
      </c>
      <c r="F14" s="166">
        <f>spe_registration!$L$113</f>
        <v>0</v>
      </c>
      <c r="G14" s="180" t="s">
        <v>1241</v>
      </c>
      <c r="H14" s="184">
        <v>0</v>
      </c>
      <c r="I14" s="184">
        <v>32</v>
      </c>
      <c r="J14" s="201" t="str">
        <f>spe_registration!$F$113</f>
        <v>Y</v>
      </c>
      <c r="K14" s="196"/>
      <c r="L14" s="191"/>
      <c r="M14" s="429"/>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2"/>
      <c r="AN14" s="182"/>
      <c r="AO14" s="182"/>
      <c r="AP14" s="182"/>
      <c r="AQ14" s="182"/>
      <c r="AR14" s="182"/>
      <c r="AS14" s="182"/>
      <c r="AT14" s="182"/>
      <c r="AU14" s="182"/>
      <c r="AV14" s="182"/>
      <c r="AW14" s="182"/>
      <c r="AX14" s="182"/>
      <c r="AY14" s="182"/>
      <c r="AZ14" s="182"/>
    </row>
    <row r="15" spans="1:52" ht="10.5" hidden="1" customHeight="1" x14ac:dyDescent="0.25">
      <c r="A15" s="162" t="s">
        <v>1378</v>
      </c>
      <c r="B15" s="402" t="s">
        <v>1311</v>
      </c>
      <c r="C15" s="133" t="s">
        <v>1283</v>
      </c>
      <c r="D15" s="474" t="str">
        <f>IF(spe_registration!$I$114="NULL","",spe_registration!$I$114)</f>
        <v/>
      </c>
      <c r="E15" s="423" t="s">
        <v>1552</v>
      </c>
      <c r="F15" s="166">
        <f>spe_registration!$L$114</f>
        <v>0</v>
      </c>
      <c r="G15" s="180" t="s">
        <v>1241</v>
      </c>
      <c r="H15" s="184">
        <v>0</v>
      </c>
      <c r="I15" s="184">
        <v>32</v>
      </c>
      <c r="J15" s="201" t="str">
        <f>spe_registration!$F$114</f>
        <v>Y</v>
      </c>
      <c r="K15" s="196"/>
      <c r="L15" s="191"/>
      <c r="M15" s="429"/>
      <c r="N15" s="182"/>
      <c r="O15" s="182"/>
      <c r="P15" s="182"/>
      <c r="Q15" s="182"/>
      <c r="R15" s="182"/>
      <c r="S15" s="182"/>
      <c r="T15" s="182"/>
      <c r="U15" s="182"/>
      <c r="V15" s="182"/>
      <c r="W15" s="182"/>
      <c r="X15" s="182"/>
      <c r="Y15" s="182"/>
      <c r="Z15" s="182"/>
      <c r="AA15" s="182"/>
      <c r="AB15" s="182"/>
      <c r="AC15" s="182"/>
      <c r="AD15" s="182"/>
      <c r="AE15" s="182"/>
      <c r="AF15" s="182"/>
      <c r="AG15" s="182"/>
      <c r="AH15" s="182"/>
      <c r="AI15" s="182"/>
      <c r="AJ15" s="182"/>
      <c r="AK15" s="182"/>
      <c r="AL15" s="182"/>
      <c r="AM15" s="182"/>
      <c r="AN15" s="182"/>
      <c r="AO15" s="182"/>
      <c r="AP15" s="182"/>
      <c r="AQ15" s="182"/>
      <c r="AR15" s="182"/>
      <c r="AS15" s="182"/>
      <c r="AT15" s="182"/>
      <c r="AU15" s="182"/>
      <c r="AV15" s="182"/>
      <c r="AW15" s="182"/>
      <c r="AX15" s="182"/>
      <c r="AY15" s="182"/>
      <c r="AZ15" s="182"/>
    </row>
    <row r="16" spans="1:52" ht="10.5" hidden="1" customHeight="1" x14ac:dyDescent="0.25">
      <c r="A16" s="163" t="s">
        <v>1378</v>
      </c>
      <c r="B16" s="403" t="s">
        <v>1497</v>
      </c>
      <c r="C16" s="158" t="s">
        <v>1498</v>
      </c>
      <c r="D16" s="475" t="str">
        <f ca="1">spe_registration!$I$117</f>
        <v>16/08/2022 15:36:52.50</v>
      </c>
      <c r="E16" s="427" t="s">
        <v>1553</v>
      </c>
      <c r="F16" s="168">
        <f>spe_registration!$L$117</f>
        <v>0</v>
      </c>
      <c r="G16" s="466" t="s">
        <v>2</v>
      </c>
      <c r="H16" s="467">
        <v>42005</v>
      </c>
      <c r="I16" s="467">
        <v>401768</v>
      </c>
      <c r="J16" s="202" t="str">
        <f>spe_registration!$F$117</f>
        <v>Y</v>
      </c>
      <c r="K16" s="197"/>
      <c r="L16" s="192"/>
      <c r="M16" s="429"/>
      <c r="N16" s="182"/>
      <c r="O16" s="182"/>
      <c r="P16" s="182"/>
      <c r="Q16" s="182"/>
      <c r="R16" s="182"/>
      <c r="S16" s="182"/>
      <c r="T16" s="182"/>
      <c r="U16" s="182"/>
      <c r="V16" s="182"/>
      <c r="W16" s="182"/>
      <c r="X16" s="182"/>
      <c r="Y16" s="182"/>
      <c r="Z16" s="182"/>
      <c r="AA16" s="182"/>
      <c r="AB16" s="182"/>
      <c r="AC16" s="182"/>
      <c r="AD16" s="182"/>
      <c r="AE16" s="182"/>
      <c r="AF16" s="182"/>
      <c r="AG16" s="182"/>
      <c r="AH16" s="182"/>
      <c r="AI16" s="182"/>
      <c r="AJ16" s="182"/>
      <c r="AK16" s="182"/>
      <c r="AL16" s="182"/>
      <c r="AM16" s="182"/>
      <c r="AN16" s="182"/>
      <c r="AO16" s="182"/>
      <c r="AP16" s="182"/>
      <c r="AQ16" s="182"/>
      <c r="AR16" s="182"/>
      <c r="AS16" s="182"/>
      <c r="AT16" s="182"/>
      <c r="AU16" s="182"/>
      <c r="AV16" s="182"/>
      <c r="AW16" s="182"/>
      <c r="AX16" s="182"/>
      <c r="AY16" s="182"/>
      <c r="AZ16" s="182"/>
    </row>
    <row r="17" spans="1:52" ht="10.5" hidden="1" customHeight="1" x14ac:dyDescent="0.25">
      <c r="A17" s="162" t="s">
        <v>1213</v>
      </c>
      <c r="B17" s="402" t="s">
        <v>918</v>
      </c>
      <c r="C17" s="157" t="s">
        <v>1393</v>
      </c>
      <c r="D17" s="476" t="str">
        <f>IF(spe_registration!$I$13="NULL","",spe_registration!$I$13)</f>
        <v/>
      </c>
      <c r="E17" s="423" t="s">
        <v>1435</v>
      </c>
      <c r="F17" s="166" t="str">
        <f>spe_registration!$L$13</f>
        <v/>
      </c>
      <c r="G17" s="180" t="s">
        <v>1241</v>
      </c>
      <c r="H17" s="183">
        <v>1</v>
      </c>
      <c r="I17" s="183">
        <v>128</v>
      </c>
      <c r="J17" s="201" t="str">
        <f>spe_registration!$F$13</f>
        <v>N</v>
      </c>
      <c r="K17" s="196"/>
      <c r="L17" s="191"/>
      <c r="M17" s="429"/>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182"/>
      <c r="AK17" s="182"/>
      <c r="AL17" s="182"/>
      <c r="AM17" s="182"/>
      <c r="AN17" s="182"/>
      <c r="AO17" s="182"/>
      <c r="AP17" s="182"/>
      <c r="AQ17" s="182"/>
      <c r="AR17" s="182"/>
      <c r="AS17" s="182"/>
      <c r="AT17" s="182"/>
      <c r="AU17" s="182"/>
      <c r="AV17" s="182"/>
      <c r="AW17" s="182"/>
      <c r="AX17" s="182"/>
      <c r="AY17" s="182"/>
      <c r="AZ17" s="182"/>
    </row>
    <row r="18" spans="1:52" ht="10.5" hidden="1" customHeight="1" x14ac:dyDescent="0.25">
      <c r="A18" s="162" t="s">
        <v>1213</v>
      </c>
      <c r="B18" s="402" t="s">
        <v>907</v>
      </c>
      <c r="C18" s="133" t="s">
        <v>1394</v>
      </c>
      <c r="D18" s="470" t="str">
        <f>IF(spe_registration!$I$14="NULL","",spe_registration!$I$14)</f>
        <v/>
      </c>
      <c r="E18" s="423" t="s">
        <v>1436</v>
      </c>
      <c r="F18" s="166">
        <f>spe_registration!$L$14</f>
        <v>0</v>
      </c>
      <c r="G18" s="180" t="s">
        <v>1241</v>
      </c>
      <c r="H18" s="184">
        <v>1</v>
      </c>
      <c r="I18" s="184">
        <v>128</v>
      </c>
      <c r="J18" s="201" t="str">
        <f>spe_registration!$F$14</f>
        <v>N</v>
      </c>
      <c r="K18" s="196"/>
      <c r="L18" s="191"/>
      <c r="M18" s="429"/>
      <c r="N18" s="182"/>
      <c r="O18" s="182"/>
      <c r="P18" s="182"/>
      <c r="Q18" s="182"/>
      <c r="R18" s="182"/>
      <c r="S18" s="182"/>
      <c r="T18" s="182"/>
      <c r="U18" s="182"/>
      <c r="V18" s="182"/>
      <c r="W18" s="182"/>
      <c r="X18" s="182"/>
      <c r="Y18" s="182"/>
      <c r="Z18" s="182"/>
      <c r="AA18" s="182"/>
      <c r="AB18" s="182"/>
      <c r="AC18" s="182"/>
      <c r="AD18" s="182"/>
      <c r="AE18" s="182"/>
      <c r="AF18" s="182"/>
      <c r="AG18" s="182"/>
      <c r="AH18" s="182"/>
      <c r="AI18" s="182"/>
      <c r="AJ18" s="182"/>
      <c r="AK18" s="182"/>
      <c r="AL18" s="182"/>
      <c r="AM18" s="182"/>
      <c r="AN18" s="182"/>
      <c r="AO18" s="182"/>
      <c r="AP18" s="182"/>
      <c r="AQ18" s="182"/>
      <c r="AR18" s="182"/>
      <c r="AS18" s="182"/>
      <c r="AT18" s="182"/>
      <c r="AU18" s="182"/>
      <c r="AV18" s="182"/>
      <c r="AW18" s="182"/>
      <c r="AX18" s="182"/>
      <c r="AY18" s="182"/>
      <c r="AZ18" s="182"/>
    </row>
    <row r="19" spans="1:52" ht="10.5" hidden="1" customHeight="1" x14ac:dyDescent="0.25">
      <c r="A19" s="162" t="s">
        <v>1213</v>
      </c>
      <c r="B19" s="402" t="s">
        <v>908</v>
      </c>
      <c r="C19" s="133" t="s">
        <v>908</v>
      </c>
      <c r="D19" s="470" t="str">
        <f>IF(spe_registration!$I$15="NULL","",spe_registration!$I$15)</f>
        <v/>
      </c>
      <c r="E19" s="423" t="s">
        <v>1437</v>
      </c>
      <c r="F19" s="166">
        <f>spe_registration!$L$15</f>
        <v>0</v>
      </c>
      <c r="G19" s="180" t="s">
        <v>1241</v>
      </c>
      <c r="H19" s="184">
        <v>0</v>
      </c>
      <c r="I19" s="184">
        <v>128</v>
      </c>
      <c r="J19" s="201" t="str">
        <f>spe_registration!$F$15</f>
        <v>N</v>
      </c>
      <c r="K19" s="196"/>
      <c r="L19" s="191"/>
      <c r="M19" s="429"/>
      <c r="N19" s="182"/>
      <c r="O19" s="182"/>
      <c r="P19" s="182"/>
      <c r="Q19" s="182"/>
      <c r="R19" s="182"/>
      <c r="S19" s="182"/>
      <c r="T19" s="182"/>
      <c r="U19" s="182"/>
      <c r="V19" s="182"/>
      <c r="W19" s="182"/>
      <c r="X19" s="182"/>
      <c r="Y19" s="182"/>
      <c r="Z19" s="182"/>
      <c r="AA19" s="182"/>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AY19" s="182"/>
      <c r="AZ19" s="182"/>
    </row>
    <row r="20" spans="1:52" ht="10.5" hidden="1" customHeight="1" x14ac:dyDescent="0.25">
      <c r="A20" s="162" t="s">
        <v>1213</v>
      </c>
      <c r="B20" s="402" t="s">
        <v>909</v>
      </c>
      <c r="C20" s="133" t="s">
        <v>909</v>
      </c>
      <c r="D20" s="470" t="str">
        <f>IF(spe_registration!$I$16="NULL","",spe_registration!$I$16)</f>
        <v/>
      </c>
      <c r="E20" s="423" t="s">
        <v>1438</v>
      </c>
      <c r="F20" s="166">
        <f>spe_registration!$L$16</f>
        <v>0</v>
      </c>
      <c r="G20" s="180" t="s">
        <v>1241</v>
      </c>
      <c r="H20" s="184">
        <v>0</v>
      </c>
      <c r="I20" s="184">
        <v>128</v>
      </c>
      <c r="J20" s="201" t="str">
        <f>spe_registration!$F$16</f>
        <v>N</v>
      </c>
      <c r="K20" s="196"/>
      <c r="L20" s="191"/>
      <c r="M20" s="429"/>
      <c r="N20" s="182"/>
      <c r="O20" s="182"/>
      <c r="P20" s="182"/>
      <c r="Q20" s="182"/>
      <c r="R20" s="182"/>
      <c r="S20" s="182"/>
      <c r="T20" s="182"/>
      <c r="U20" s="182"/>
      <c r="V20" s="182"/>
      <c r="W20" s="182"/>
      <c r="X20" s="182"/>
      <c r="Y20" s="182"/>
      <c r="Z20" s="182"/>
      <c r="AA20" s="182"/>
      <c r="AB20" s="182"/>
      <c r="AC20" s="182"/>
      <c r="AD20" s="182"/>
      <c r="AE20" s="182"/>
      <c r="AF20" s="182"/>
      <c r="AG20" s="182"/>
      <c r="AH20" s="182"/>
      <c r="AI20" s="182"/>
      <c r="AJ20" s="182"/>
      <c r="AK20" s="182"/>
      <c r="AL20" s="182"/>
      <c r="AM20" s="182"/>
      <c r="AN20" s="182"/>
      <c r="AO20" s="182"/>
      <c r="AP20" s="182"/>
      <c r="AQ20" s="182"/>
      <c r="AR20" s="182"/>
      <c r="AS20" s="182"/>
      <c r="AT20" s="182"/>
      <c r="AU20" s="182"/>
      <c r="AV20" s="182"/>
      <c r="AW20" s="182"/>
      <c r="AX20" s="182"/>
      <c r="AY20" s="182"/>
      <c r="AZ20" s="182"/>
    </row>
    <row r="21" spans="1:52" ht="10.5" hidden="1" customHeight="1" x14ac:dyDescent="0.25">
      <c r="A21" s="162" t="s">
        <v>1213</v>
      </c>
      <c r="B21" s="402" t="s">
        <v>905</v>
      </c>
      <c r="C21" s="133" t="s">
        <v>1395</v>
      </c>
      <c r="D21" s="470" t="str">
        <f>IF(spe_registration!$I$17="NULL","",spe_registration!$I$17)</f>
        <v/>
      </c>
      <c r="E21" s="423" t="s">
        <v>1439</v>
      </c>
      <c r="F21" s="166">
        <f>spe_registration!$L$17</f>
        <v>0</v>
      </c>
      <c r="G21" s="180" t="s">
        <v>1241</v>
      </c>
      <c r="H21" s="184">
        <v>1</v>
      </c>
      <c r="I21" s="184">
        <v>32</v>
      </c>
      <c r="J21" s="201" t="str">
        <f>spe_registration!$F$17</f>
        <v>N</v>
      </c>
      <c r="K21" s="196"/>
      <c r="L21" s="191"/>
      <c r="M21" s="429"/>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182"/>
      <c r="AM21" s="182"/>
      <c r="AN21" s="182"/>
      <c r="AO21" s="182"/>
      <c r="AP21" s="182"/>
      <c r="AQ21" s="182"/>
      <c r="AR21" s="182"/>
      <c r="AS21" s="182"/>
      <c r="AT21" s="182"/>
      <c r="AU21" s="182"/>
      <c r="AV21" s="182"/>
      <c r="AW21" s="182"/>
      <c r="AX21" s="182"/>
      <c r="AY21" s="182"/>
      <c r="AZ21" s="182"/>
    </row>
    <row r="22" spans="1:52" ht="10.5" hidden="1" customHeight="1" x14ac:dyDescent="0.25">
      <c r="A22" s="162" t="s">
        <v>1213</v>
      </c>
      <c r="B22" s="402" t="s">
        <v>906</v>
      </c>
      <c r="C22" s="133" t="s">
        <v>1396</v>
      </c>
      <c r="D22" s="470" t="str">
        <f>IF(spe_registration!$I$18="NULL","",spe_registration!$I$18)</f>
        <v/>
      </c>
      <c r="E22" s="423" t="s">
        <v>1440</v>
      </c>
      <c r="F22" s="166" t="str">
        <f>spe_registration!$L$18</f>
        <v/>
      </c>
      <c r="G22" s="180" t="s">
        <v>1426</v>
      </c>
      <c r="H22" s="184">
        <v>7</v>
      </c>
      <c r="I22" s="184">
        <v>7</v>
      </c>
      <c r="J22" s="201" t="str">
        <f>spe_registration!$F$18</f>
        <v>N</v>
      </c>
      <c r="K22" s="196"/>
      <c r="L22" s="191"/>
      <c r="M22" s="429"/>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c r="AR22" s="182"/>
      <c r="AS22" s="182"/>
      <c r="AT22" s="182"/>
      <c r="AU22" s="182"/>
      <c r="AV22" s="182"/>
      <c r="AW22" s="182"/>
      <c r="AX22" s="182"/>
      <c r="AY22" s="182"/>
      <c r="AZ22" s="182"/>
    </row>
    <row r="23" spans="1:52" ht="10.5" hidden="1" customHeight="1" x14ac:dyDescent="0.25">
      <c r="A23" s="163" t="s">
        <v>1213</v>
      </c>
      <c r="B23" s="403" t="s">
        <v>7</v>
      </c>
      <c r="C23" s="159" t="s">
        <v>1397</v>
      </c>
      <c r="D23" s="477" t="str">
        <f>spe_registration!$I$19</f>
        <v>IE</v>
      </c>
      <c r="E23" s="427" t="s">
        <v>1441</v>
      </c>
      <c r="F23" s="168">
        <f>spe_registration!$L$19</f>
        <v>0</v>
      </c>
      <c r="G23" s="181" t="s">
        <v>1241</v>
      </c>
      <c r="H23" s="185">
        <v>2</v>
      </c>
      <c r="I23" s="185">
        <v>2</v>
      </c>
      <c r="J23" s="202" t="str">
        <f>spe_registration!$F$19</f>
        <v>N</v>
      </c>
      <c r="K23" s="197"/>
      <c r="L23" s="192"/>
      <c r="M23" s="429"/>
      <c r="N23" s="182"/>
      <c r="O23" s="182"/>
      <c r="P23" s="182"/>
      <c r="Q23" s="182"/>
      <c r="R23" s="182"/>
      <c r="S23" s="182"/>
      <c r="T23" s="182"/>
      <c r="U23" s="182"/>
      <c r="V23" s="182"/>
      <c r="W23" s="182"/>
      <c r="X23" s="182"/>
      <c r="Y23" s="182"/>
      <c r="Z23" s="182"/>
      <c r="AA23" s="182"/>
      <c r="AB23" s="182"/>
      <c r="AC23" s="182"/>
      <c r="AD23" s="182"/>
      <c r="AE23" s="182"/>
      <c r="AF23" s="182"/>
      <c r="AG23" s="182"/>
      <c r="AH23" s="182"/>
      <c r="AI23" s="182"/>
      <c r="AJ23" s="182"/>
      <c r="AK23" s="182"/>
      <c r="AL23" s="182"/>
      <c r="AM23" s="182"/>
      <c r="AN23" s="182"/>
      <c r="AO23" s="182"/>
      <c r="AP23" s="182"/>
      <c r="AQ23" s="182"/>
      <c r="AR23" s="182"/>
      <c r="AS23" s="182"/>
      <c r="AT23" s="182"/>
      <c r="AU23" s="182"/>
      <c r="AV23" s="182"/>
      <c r="AW23" s="182"/>
      <c r="AX23" s="182"/>
      <c r="AY23" s="182"/>
      <c r="AZ23" s="182"/>
    </row>
    <row r="24" spans="1:52" ht="10.5" hidden="1" customHeight="1" x14ac:dyDescent="0.25">
      <c r="A24" s="161" t="s">
        <v>1240</v>
      </c>
      <c r="B24" s="404" t="s">
        <v>1470</v>
      </c>
      <c r="C24" s="133" t="s">
        <v>1471</v>
      </c>
      <c r="D24" s="472" t="str">
        <f>IF(spe_registration!$I$29="NULL",FALSE,spe_registration!$I$29)</f>
        <v>FALSE</v>
      </c>
      <c r="E24" s="423" t="s">
        <v>1511</v>
      </c>
      <c r="F24" s="166" t="str">
        <f>spe_registration!$L$29</f>
        <v>Not Applicable</v>
      </c>
      <c r="G24" s="207" t="s">
        <v>1427</v>
      </c>
      <c r="H24" s="184">
        <v>1</v>
      </c>
      <c r="I24" s="184">
        <v>64</v>
      </c>
      <c r="J24" s="201" t="str">
        <f>spe_registration!$F$29</f>
        <v>Y</v>
      </c>
      <c r="K24" s="196"/>
      <c r="L24" s="352"/>
      <c r="M24" s="429"/>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2"/>
      <c r="AO24" s="182"/>
      <c r="AP24" s="182"/>
      <c r="AQ24" s="182"/>
      <c r="AR24" s="182"/>
      <c r="AS24" s="182"/>
      <c r="AT24" s="182"/>
      <c r="AU24" s="182"/>
      <c r="AV24" s="182"/>
      <c r="AW24" s="182"/>
      <c r="AX24" s="182"/>
      <c r="AY24" s="182"/>
      <c r="AZ24" s="182"/>
    </row>
    <row r="25" spans="1:52" ht="10.5" hidden="1" customHeight="1" x14ac:dyDescent="0.25">
      <c r="A25" s="161" t="s">
        <v>1240</v>
      </c>
      <c r="B25" s="404" t="s">
        <v>911</v>
      </c>
      <c r="C25" s="160" t="s">
        <v>1341</v>
      </c>
      <c r="D25" s="478" t="str">
        <f>IF(spe_registration!$I$31="NULL","Vehicle Activity To Be Confirmed",spe_registration!$I$31)</f>
        <v>Vehicle Activity To Be Confirmed</v>
      </c>
      <c r="E25" s="423" t="s">
        <v>1473</v>
      </c>
      <c r="F25" s="166" t="str">
        <f>spe_registration!$L$31</f>
        <v>Please select Vehicle Activity from drop-down list.</v>
      </c>
      <c r="G25" s="180" t="s">
        <v>1241</v>
      </c>
      <c r="H25" s="184">
        <v>1</v>
      </c>
      <c r="I25" s="184">
        <v>64</v>
      </c>
      <c r="J25" s="201" t="str">
        <f>spe_registration!$F$31</f>
        <v>N</v>
      </c>
      <c r="K25" s="196"/>
      <c r="L25" s="191"/>
      <c r="M25" s="429"/>
      <c r="N25" s="182"/>
      <c r="O25" s="182"/>
      <c r="P25" s="182"/>
      <c r="Q25" s="182"/>
      <c r="R25" s="182"/>
      <c r="S25" s="182"/>
      <c r="T25" s="182"/>
      <c r="U25" s="182"/>
      <c r="V25" s="182"/>
      <c r="W25" s="182"/>
      <c r="X25" s="182"/>
      <c r="Y25" s="182"/>
      <c r="Z25" s="182"/>
      <c r="AA25" s="182"/>
      <c r="AB25" s="182"/>
      <c r="AC25" s="182"/>
      <c r="AD25" s="182"/>
      <c r="AE25" s="182"/>
      <c r="AF25" s="182"/>
      <c r="AG25" s="182"/>
      <c r="AH25" s="182"/>
      <c r="AI25" s="182"/>
      <c r="AJ25" s="182"/>
      <c r="AK25" s="182"/>
      <c r="AL25" s="182"/>
      <c r="AM25" s="182"/>
      <c r="AN25" s="182"/>
      <c r="AO25" s="182"/>
      <c r="AP25" s="182"/>
      <c r="AQ25" s="182"/>
      <c r="AR25" s="182"/>
      <c r="AS25" s="182"/>
      <c r="AT25" s="182"/>
      <c r="AU25" s="182"/>
      <c r="AV25" s="182"/>
      <c r="AW25" s="182"/>
      <c r="AX25" s="182"/>
      <c r="AY25" s="182"/>
      <c r="AZ25" s="182"/>
    </row>
    <row r="26" spans="1:52" ht="10.5" hidden="1" customHeight="1" x14ac:dyDescent="0.25">
      <c r="A26" s="163" t="s">
        <v>1240</v>
      </c>
      <c r="B26" s="403" t="s">
        <v>1261</v>
      </c>
      <c r="C26" s="133" t="s">
        <v>1398</v>
      </c>
      <c r="D26" s="479" t="str">
        <f>IF(spe_registration!$I$32="NULL","",spe_registration!$I$32)</f>
        <v/>
      </c>
      <c r="E26" s="423" t="s">
        <v>1443</v>
      </c>
      <c r="F26" s="166" t="str">
        <f>spe_registration!$L$32</f>
        <v>Please provide any additional information.</v>
      </c>
      <c r="G26" s="180" t="s">
        <v>1241</v>
      </c>
      <c r="H26" s="184">
        <v>0</v>
      </c>
      <c r="I26" s="184">
        <v>511</v>
      </c>
      <c r="J26" s="201" t="str">
        <f>spe_registration!$F$32</f>
        <v>Y</v>
      </c>
      <c r="K26" s="196"/>
      <c r="L26" s="191"/>
      <c r="M26" s="429"/>
      <c r="N26" s="182"/>
      <c r="O26" s="182"/>
      <c r="P26" s="182"/>
      <c r="Q26" s="182"/>
      <c r="R26" s="182"/>
      <c r="S26" s="182"/>
      <c r="T26" s="182"/>
      <c r="U26" s="182"/>
      <c r="V26" s="182"/>
      <c r="W26" s="182"/>
      <c r="X26" s="182"/>
      <c r="Y26" s="182"/>
      <c r="Z26" s="182"/>
      <c r="AA26" s="182"/>
      <c r="AB26" s="182"/>
      <c r="AC26" s="182"/>
      <c r="AD26" s="182"/>
      <c r="AE26" s="182"/>
      <c r="AF26" s="182"/>
      <c r="AG26" s="182"/>
      <c r="AH26" s="182"/>
      <c r="AI26" s="182"/>
      <c r="AJ26" s="182"/>
      <c r="AK26" s="182"/>
      <c r="AL26" s="182"/>
      <c r="AM26" s="182"/>
      <c r="AN26" s="182"/>
      <c r="AO26" s="182"/>
      <c r="AP26" s="182"/>
      <c r="AQ26" s="182"/>
      <c r="AR26" s="182"/>
      <c r="AS26" s="182"/>
      <c r="AT26" s="182"/>
      <c r="AU26" s="182"/>
      <c r="AV26" s="182"/>
      <c r="AW26" s="182"/>
      <c r="AX26" s="182"/>
      <c r="AY26" s="182"/>
      <c r="AZ26" s="182"/>
    </row>
    <row r="27" spans="1:52" ht="10.5" hidden="1" customHeight="1" x14ac:dyDescent="0.25">
      <c r="A27" s="163" t="s">
        <v>1240</v>
      </c>
      <c r="B27" s="403" t="s">
        <v>912</v>
      </c>
      <c r="C27" s="155" t="s">
        <v>1342</v>
      </c>
      <c r="D27" s="480" t="str">
        <f>spe_registration!$I$34</f>
        <v>XXX</v>
      </c>
      <c r="E27" s="423" t="s">
        <v>1444</v>
      </c>
      <c r="F27" s="166" t="str">
        <f>spe_registration!$L$34</f>
        <v>Please select Vehicle Currency from drop-down list.</v>
      </c>
      <c r="G27" s="180" t="s">
        <v>1241</v>
      </c>
      <c r="H27" s="184">
        <v>3</v>
      </c>
      <c r="I27" s="184">
        <v>3</v>
      </c>
      <c r="J27" s="201" t="str">
        <f>spe_registration!$F$34</f>
        <v>N</v>
      </c>
      <c r="K27" s="196"/>
      <c r="L27" s="191"/>
      <c r="M27" s="429"/>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c r="AO27" s="182"/>
      <c r="AP27" s="182"/>
      <c r="AQ27" s="182"/>
      <c r="AR27" s="182"/>
      <c r="AS27" s="182"/>
      <c r="AT27" s="182"/>
      <c r="AU27" s="182"/>
      <c r="AV27" s="182"/>
      <c r="AW27" s="182"/>
      <c r="AX27" s="182"/>
      <c r="AY27" s="182"/>
      <c r="AZ27" s="182"/>
    </row>
    <row r="28" spans="1:52" ht="10.5" hidden="1" customHeight="1" x14ac:dyDescent="0.25">
      <c r="A28" s="162" t="s">
        <v>1240</v>
      </c>
      <c r="B28" s="402" t="s">
        <v>1216</v>
      </c>
      <c r="C28" s="133" t="s">
        <v>1399</v>
      </c>
      <c r="D28" s="474" t="b">
        <f>IF(spe_registration!$I$23="NULL",FALSE,spe_registration!$I$23)</f>
        <v>0</v>
      </c>
      <c r="E28" s="423" t="s">
        <v>1442</v>
      </c>
      <c r="F28" s="166" t="str">
        <f>spe_registration!$L$23</f>
        <v/>
      </c>
      <c r="G28" s="207" t="s">
        <v>1427</v>
      </c>
      <c r="H28" s="208">
        <v>4</v>
      </c>
      <c r="I28" s="208">
        <v>5</v>
      </c>
      <c r="J28" s="201" t="str">
        <f>spe_registration!$F$23</f>
        <v>Y</v>
      </c>
      <c r="K28" s="196"/>
      <c r="L28" s="191"/>
      <c r="M28" s="429"/>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182"/>
      <c r="AM28" s="182"/>
      <c r="AN28" s="182"/>
      <c r="AO28" s="182"/>
      <c r="AP28" s="182"/>
      <c r="AQ28" s="182"/>
      <c r="AR28" s="182"/>
      <c r="AS28" s="182"/>
      <c r="AT28" s="182"/>
      <c r="AU28" s="182"/>
      <c r="AV28" s="182"/>
      <c r="AW28" s="182"/>
      <c r="AX28" s="182"/>
      <c r="AY28" s="182"/>
      <c r="AZ28" s="182"/>
    </row>
    <row r="29" spans="1:52" ht="10.5" hidden="1" customHeight="1" x14ac:dyDescent="0.25">
      <c r="A29" s="162" t="s">
        <v>1240</v>
      </c>
      <c r="B29" s="402" t="s">
        <v>913</v>
      </c>
      <c r="C29" s="133" t="s">
        <v>1400</v>
      </c>
      <c r="D29" s="480" t="str">
        <f>IF(spe_registration!$I$24="NULL","",spe_registration!$I$24)</f>
        <v/>
      </c>
      <c r="E29" s="423" t="s">
        <v>1512</v>
      </c>
      <c r="F29" s="166" t="str">
        <f>spe_registration!$L$24</f>
        <v/>
      </c>
      <c r="G29" s="180" t="s">
        <v>1241</v>
      </c>
      <c r="H29" s="184">
        <v>1</v>
      </c>
      <c r="I29" s="184">
        <v>64</v>
      </c>
      <c r="J29" s="201" t="str">
        <f>spe_registration!$F$24</f>
        <v>Y</v>
      </c>
      <c r="K29" s="196"/>
      <c r="L29" s="191"/>
      <c r="M29" s="429"/>
      <c r="N29" s="182"/>
      <c r="O29" s="182"/>
      <c r="P29" s="182"/>
      <c r="Q29" s="182"/>
      <c r="R29" s="182"/>
      <c r="S29" s="182"/>
      <c r="T29" s="182"/>
      <c r="U29" s="182"/>
      <c r="V29" s="182"/>
      <c r="W29" s="182"/>
      <c r="X29" s="182"/>
      <c r="Y29" s="182"/>
      <c r="Z29" s="182"/>
      <c r="AA29" s="182"/>
      <c r="AB29" s="182"/>
      <c r="AC29" s="182"/>
      <c r="AD29" s="182"/>
      <c r="AE29" s="182"/>
      <c r="AF29" s="182"/>
      <c r="AG29" s="182"/>
      <c r="AH29" s="182"/>
      <c r="AI29" s="182"/>
      <c r="AJ29" s="182"/>
      <c r="AK29" s="182"/>
      <c r="AL29" s="182"/>
      <c r="AM29" s="182"/>
      <c r="AN29" s="182"/>
      <c r="AO29" s="182"/>
      <c r="AP29" s="182"/>
      <c r="AQ29" s="182"/>
      <c r="AR29" s="182"/>
      <c r="AS29" s="182"/>
      <c r="AT29" s="182"/>
      <c r="AU29" s="182"/>
      <c r="AV29" s="182"/>
      <c r="AW29" s="182"/>
      <c r="AX29" s="182"/>
      <c r="AY29" s="182"/>
      <c r="AZ29" s="182"/>
    </row>
    <row r="30" spans="1:52" ht="10.5" hidden="1" customHeight="1" x14ac:dyDescent="0.25">
      <c r="A30" s="163" t="s">
        <v>1240</v>
      </c>
      <c r="B30" s="403" t="s">
        <v>1306</v>
      </c>
      <c r="C30" s="133" t="s">
        <v>1401</v>
      </c>
      <c r="D30" s="479" t="str">
        <f>IF(spe_registration!$I$25="NULL","",spe_registration!$I$25)</f>
        <v/>
      </c>
      <c r="E30" s="427" t="s">
        <v>1472</v>
      </c>
      <c r="F30" s="168" t="str">
        <f>spe_registration!$L$25</f>
        <v/>
      </c>
      <c r="G30" s="181" t="s">
        <v>1241</v>
      </c>
      <c r="H30" s="185">
        <v>0</v>
      </c>
      <c r="I30" s="185">
        <v>511</v>
      </c>
      <c r="J30" s="202" t="str">
        <f>spe_registration!$F$25</f>
        <v>Y</v>
      </c>
      <c r="K30" s="197"/>
      <c r="L30" s="192"/>
      <c r="M30" s="429"/>
      <c r="N30" s="182"/>
      <c r="O30" s="182"/>
      <c r="P30" s="182"/>
      <c r="Q30" s="182"/>
      <c r="R30" s="182"/>
      <c r="S30" s="182"/>
      <c r="T30" s="182"/>
      <c r="U30" s="182"/>
      <c r="V30" s="182"/>
      <c r="W30" s="182"/>
      <c r="X30" s="182"/>
      <c r="Y30" s="182"/>
      <c r="Z30" s="182"/>
      <c r="AA30" s="182"/>
      <c r="AB30" s="182"/>
      <c r="AC30" s="182"/>
      <c r="AD30" s="182"/>
      <c r="AE30" s="182"/>
      <c r="AF30" s="182"/>
      <c r="AG30" s="182"/>
      <c r="AH30" s="182"/>
      <c r="AI30" s="182"/>
      <c r="AJ30" s="182"/>
      <c r="AK30" s="182"/>
      <c r="AL30" s="182"/>
      <c r="AM30" s="182"/>
      <c r="AN30" s="182"/>
      <c r="AO30" s="182"/>
      <c r="AP30" s="182"/>
      <c r="AQ30" s="182"/>
      <c r="AR30" s="182"/>
      <c r="AS30" s="182"/>
      <c r="AT30" s="182"/>
      <c r="AU30" s="182"/>
      <c r="AV30" s="182"/>
      <c r="AW30" s="182"/>
      <c r="AX30" s="182"/>
      <c r="AY30" s="182"/>
      <c r="AZ30" s="182"/>
    </row>
    <row r="31" spans="1:52" ht="10.5" hidden="1" customHeight="1" x14ac:dyDescent="0.25">
      <c r="A31" s="163" t="s">
        <v>1240</v>
      </c>
      <c r="B31" s="403" t="s">
        <v>1217</v>
      </c>
      <c r="C31" s="158" t="s">
        <v>1402</v>
      </c>
      <c r="D31" s="481" t="b">
        <f>IF(spe_registration!$I$27="NULL",FALSE,spe_registration!$I$27)</f>
        <v>0</v>
      </c>
      <c r="E31" s="427" t="s">
        <v>1513</v>
      </c>
      <c r="F31" s="168" t="str">
        <f>spe_registration!$L$27</f>
        <v>Please confirm if the Vehicle has or intends to register under Section 110 of the Irish Taxes Consolidation Act 1997.</v>
      </c>
      <c r="G31" s="209" t="s">
        <v>1427</v>
      </c>
      <c r="H31" s="210">
        <v>4</v>
      </c>
      <c r="I31" s="210">
        <v>5</v>
      </c>
      <c r="J31" s="202" t="str">
        <f>spe_registration!$F$27</f>
        <v>N</v>
      </c>
      <c r="K31" s="197"/>
      <c r="L31" s="192"/>
      <c r="M31" s="429"/>
      <c r="N31" s="182"/>
      <c r="O31" s="182"/>
      <c r="P31" s="182"/>
      <c r="Q31" s="182"/>
      <c r="R31" s="182"/>
      <c r="S31" s="182"/>
      <c r="T31" s="182"/>
      <c r="U31" s="182"/>
      <c r="V31" s="182"/>
      <c r="W31" s="182"/>
      <c r="X31" s="182"/>
      <c r="Y31" s="182"/>
      <c r="Z31" s="182"/>
      <c r="AA31" s="182"/>
      <c r="AB31" s="182"/>
      <c r="AC31" s="182"/>
      <c r="AD31" s="182"/>
      <c r="AE31" s="182"/>
      <c r="AF31" s="182"/>
      <c r="AG31" s="182"/>
      <c r="AH31" s="182"/>
      <c r="AI31" s="182"/>
      <c r="AJ31" s="182"/>
      <c r="AK31" s="182"/>
      <c r="AL31" s="182"/>
      <c r="AM31" s="182"/>
      <c r="AN31" s="182"/>
      <c r="AO31" s="182"/>
      <c r="AP31" s="182"/>
      <c r="AQ31" s="182"/>
      <c r="AR31" s="182"/>
      <c r="AS31" s="182"/>
      <c r="AT31" s="182"/>
      <c r="AU31" s="182"/>
      <c r="AV31" s="182"/>
      <c r="AW31" s="182"/>
      <c r="AX31" s="182"/>
      <c r="AY31" s="182"/>
      <c r="AZ31" s="182"/>
    </row>
    <row r="32" spans="1:52" ht="10.5" hidden="1" customHeight="1" x14ac:dyDescent="0.25">
      <c r="A32" s="162" t="s">
        <v>1240</v>
      </c>
      <c r="B32" s="402" t="s">
        <v>1233</v>
      </c>
      <c r="C32" s="157" t="s">
        <v>1403</v>
      </c>
      <c r="D32" s="472" t="b">
        <f>IF(spe_registration!$I$37="NULL",FALSE,spe_registration!$I$37)</f>
        <v>0</v>
      </c>
      <c r="E32" s="423" t="s">
        <v>1474</v>
      </c>
      <c r="F32" s="166" t="str">
        <f>spe_registration!$L$37</f>
        <v>Has the Vehicle an Orphan Structure (Bankruptcy Remoteness)?</v>
      </c>
      <c r="G32" s="207" t="s">
        <v>1427</v>
      </c>
      <c r="H32" s="208">
        <v>4</v>
      </c>
      <c r="I32" s="208">
        <v>5</v>
      </c>
      <c r="J32" s="201" t="str">
        <f>spe_registration!$F$37</f>
        <v>N</v>
      </c>
      <c r="K32" s="196"/>
      <c r="L32" s="191"/>
      <c r="M32" s="429"/>
      <c r="N32" s="182"/>
      <c r="O32" s="182"/>
      <c r="P32" s="182"/>
      <c r="Q32" s="182"/>
      <c r="R32" s="182"/>
      <c r="S32" s="182"/>
      <c r="T32" s="182"/>
      <c r="U32" s="182"/>
      <c r="V32" s="182"/>
      <c r="W32" s="182"/>
      <c r="X32" s="182"/>
      <c r="Y32" s="182"/>
      <c r="Z32" s="182"/>
      <c r="AA32" s="182"/>
      <c r="AB32" s="182"/>
      <c r="AC32" s="182"/>
      <c r="AD32" s="182"/>
      <c r="AE32" s="182"/>
      <c r="AF32" s="182"/>
      <c r="AG32" s="182"/>
      <c r="AH32" s="182"/>
      <c r="AI32" s="182"/>
      <c r="AJ32" s="182"/>
      <c r="AK32" s="182"/>
      <c r="AL32" s="182"/>
      <c r="AM32" s="182"/>
      <c r="AN32" s="182"/>
      <c r="AO32" s="182"/>
      <c r="AP32" s="182"/>
      <c r="AQ32" s="182"/>
      <c r="AR32" s="182"/>
      <c r="AS32" s="182"/>
      <c r="AT32" s="182"/>
      <c r="AU32" s="182"/>
      <c r="AV32" s="182"/>
      <c r="AW32" s="182"/>
      <c r="AX32" s="182"/>
      <c r="AY32" s="182"/>
      <c r="AZ32" s="182"/>
    </row>
    <row r="33" spans="1:52" ht="10.5" hidden="1" customHeight="1" x14ac:dyDescent="0.25">
      <c r="A33" s="162" t="s">
        <v>1240</v>
      </c>
      <c r="B33" s="402" t="s">
        <v>1234</v>
      </c>
      <c r="C33" s="133" t="s">
        <v>1404</v>
      </c>
      <c r="D33" s="474" t="b">
        <f>IF(spe_registration!$I$38="NULL",FALSE,spe_registration!$I$38)</f>
        <v>0</v>
      </c>
      <c r="E33" s="423" t="s">
        <v>1450</v>
      </c>
      <c r="F33" s="166" t="str">
        <f>spe_registration!$L$38</f>
        <v>Has the vehicle a Multi-Vehicle Structure?</v>
      </c>
      <c r="G33" s="207" t="s">
        <v>1427</v>
      </c>
      <c r="H33" s="208">
        <v>4</v>
      </c>
      <c r="I33" s="208">
        <v>5</v>
      </c>
      <c r="J33" s="201" t="str">
        <f>spe_registration!$F$38</f>
        <v>N</v>
      </c>
      <c r="K33" s="196"/>
      <c r="L33" s="191"/>
      <c r="M33" s="429"/>
      <c r="N33" s="182"/>
      <c r="O33" s="182"/>
      <c r="P33" s="182"/>
      <c r="Q33" s="182"/>
      <c r="R33" s="182"/>
      <c r="S33" s="182"/>
      <c r="T33" s="182"/>
      <c r="U33" s="182"/>
      <c r="V33" s="182"/>
      <c r="W33" s="182"/>
      <c r="X33" s="182"/>
      <c r="Y33" s="182"/>
      <c r="Z33" s="182"/>
      <c r="AA33" s="182"/>
      <c r="AB33" s="182"/>
      <c r="AC33" s="182"/>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row>
    <row r="34" spans="1:52" ht="10.5" hidden="1" customHeight="1" x14ac:dyDescent="0.25">
      <c r="A34" s="163" t="s">
        <v>1240</v>
      </c>
      <c r="B34" s="403" t="s">
        <v>1376</v>
      </c>
      <c r="C34" s="158" t="s">
        <v>1405</v>
      </c>
      <c r="D34" s="471">
        <f>spe_registration!$I$39</f>
        <v>0</v>
      </c>
      <c r="E34" s="427" t="s">
        <v>1514</v>
      </c>
      <c r="F34" s="168" t="str">
        <f>spe_registration!$L$39</f>
        <v>Do the Assets have a Single Originator [1] or Multiple Originators [&gt;1]?</v>
      </c>
      <c r="G34" s="181" t="s">
        <v>1308</v>
      </c>
      <c r="H34" s="185">
        <v>0</v>
      </c>
      <c r="I34" s="185">
        <v>25</v>
      </c>
      <c r="J34" s="202" t="str">
        <f>spe_registration!$F$39</f>
        <v>Y</v>
      </c>
      <c r="K34" s="197"/>
      <c r="L34" s="192"/>
      <c r="M34" s="429"/>
      <c r="N34" s="182"/>
      <c r="O34" s="182"/>
      <c r="P34" s="182"/>
      <c r="Q34" s="182"/>
      <c r="R34" s="182"/>
      <c r="S34" s="182"/>
      <c r="T34" s="182"/>
      <c r="U34" s="182"/>
      <c r="V34" s="182"/>
      <c r="W34" s="182"/>
      <c r="X34" s="182"/>
      <c r="Y34" s="182"/>
      <c r="Z34" s="182"/>
      <c r="AA34" s="182"/>
      <c r="AB34" s="182"/>
      <c r="AC34" s="182"/>
      <c r="AD34" s="182"/>
      <c r="AE34" s="182"/>
      <c r="AF34" s="182"/>
      <c r="AG34" s="182"/>
      <c r="AH34" s="182"/>
      <c r="AI34" s="182"/>
      <c r="AJ34" s="182"/>
      <c r="AK34" s="182"/>
      <c r="AL34" s="182"/>
      <c r="AM34" s="182"/>
      <c r="AN34" s="182"/>
      <c r="AO34" s="182"/>
      <c r="AP34" s="182"/>
      <c r="AQ34" s="182"/>
      <c r="AR34" s="182"/>
      <c r="AS34" s="182"/>
      <c r="AT34" s="182"/>
      <c r="AU34" s="182"/>
      <c r="AV34" s="182"/>
      <c r="AW34" s="182"/>
      <c r="AX34" s="182"/>
      <c r="AY34" s="182"/>
      <c r="AZ34" s="182"/>
    </row>
    <row r="35" spans="1:52" ht="10.5" hidden="1" customHeight="1" x14ac:dyDescent="0.25">
      <c r="A35" s="162" t="s">
        <v>1240</v>
      </c>
      <c r="B35" s="402" t="s">
        <v>1235</v>
      </c>
      <c r="C35" s="157" t="s">
        <v>1349</v>
      </c>
      <c r="D35" s="482">
        <f>spe_registration!$I$41</f>
        <v>0</v>
      </c>
      <c r="E35" s="423" t="s">
        <v>1445</v>
      </c>
      <c r="F35" s="166" t="str">
        <f>spe_registration!$L$41</f>
        <v>Please supply estimate of Total Assets at first reporting.</v>
      </c>
      <c r="G35" s="180" t="s">
        <v>1308</v>
      </c>
      <c r="H35" s="184">
        <v>0</v>
      </c>
      <c r="I35" s="184">
        <v>99999999999</v>
      </c>
      <c r="J35" s="201" t="str">
        <f>spe_registration!$F$41</f>
        <v>Y</v>
      </c>
      <c r="K35" s="196"/>
      <c r="L35" s="191"/>
      <c r="M35" s="429"/>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row>
    <row r="36" spans="1:52" ht="10.5" hidden="1" customHeight="1" x14ac:dyDescent="0.25">
      <c r="A36" s="163" t="s">
        <v>1240</v>
      </c>
      <c r="B36" s="403" t="s">
        <v>1236</v>
      </c>
      <c r="C36" s="158" t="s">
        <v>1348</v>
      </c>
      <c r="D36" s="483">
        <f>spe_registration!$I$42</f>
        <v>0</v>
      </c>
      <c r="E36" s="427" t="s">
        <v>1515</v>
      </c>
      <c r="F36" s="168" t="str">
        <f>spe_registration!$L$42</f>
        <v>Please supply estimate of Maximum Issuance size of Total Assets.</v>
      </c>
      <c r="G36" s="181" t="s">
        <v>1308</v>
      </c>
      <c r="H36" s="185">
        <v>0</v>
      </c>
      <c r="I36" s="185">
        <v>99999999999</v>
      </c>
      <c r="J36" s="202" t="str">
        <f>spe_registration!$F$42</f>
        <v>Y</v>
      </c>
      <c r="K36" s="197"/>
      <c r="L36" s="192"/>
      <c r="M36" s="429"/>
      <c r="N36" s="182"/>
      <c r="O36" s="182"/>
      <c r="P36" s="182"/>
      <c r="Q36" s="182"/>
      <c r="R36" s="182"/>
      <c r="S36" s="182"/>
      <c r="T36" s="182"/>
      <c r="U36" s="182"/>
      <c r="V36" s="182"/>
      <c r="W36" s="182"/>
      <c r="X36" s="182"/>
      <c r="Y36" s="182"/>
      <c r="Z36" s="182"/>
      <c r="AA36" s="182"/>
      <c r="AB36" s="182"/>
      <c r="AC36" s="182"/>
      <c r="AD36" s="182"/>
      <c r="AE36" s="182"/>
      <c r="AF36" s="182"/>
      <c r="AG36" s="182"/>
      <c r="AH36" s="182"/>
      <c r="AI36" s="182"/>
      <c r="AJ36" s="182"/>
      <c r="AK36" s="182"/>
      <c r="AL36" s="182"/>
      <c r="AM36" s="182"/>
      <c r="AN36" s="182"/>
      <c r="AO36" s="182"/>
      <c r="AP36" s="182"/>
      <c r="AQ36" s="182"/>
      <c r="AR36" s="182"/>
      <c r="AS36" s="182"/>
      <c r="AT36" s="182"/>
      <c r="AU36" s="182"/>
      <c r="AV36" s="182"/>
      <c r="AW36" s="182"/>
      <c r="AX36" s="182"/>
      <c r="AY36" s="182"/>
      <c r="AZ36" s="182"/>
    </row>
    <row r="37" spans="1:52" ht="10.5" hidden="1" customHeight="1" x14ac:dyDescent="0.25">
      <c r="A37" s="162" t="s">
        <v>1240</v>
      </c>
      <c r="B37" s="402" t="s">
        <v>1237</v>
      </c>
      <c r="C37" s="157" t="s">
        <v>1410</v>
      </c>
      <c r="D37" s="472" t="b">
        <f>IF(spe_registration!$I$44="NULL",FALSE,spe_registration!$I$44)</f>
        <v>0</v>
      </c>
      <c r="E37" s="423" t="s">
        <v>1475</v>
      </c>
      <c r="F37" s="166" t="str">
        <f>spe_registration!$L$44</f>
        <v>Please confirm if the vehicle issues Debt Securities.</v>
      </c>
      <c r="G37" s="207" t="s">
        <v>1427</v>
      </c>
      <c r="H37" s="208">
        <v>4</v>
      </c>
      <c r="I37" s="208">
        <v>5</v>
      </c>
      <c r="J37" s="201" t="str">
        <f>spe_registration!$F$44</f>
        <v>N</v>
      </c>
      <c r="K37" s="196"/>
      <c r="L37" s="191"/>
      <c r="M37" s="429"/>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82"/>
      <c r="AV37" s="182"/>
      <c r="AW37" s="182"/>
      <c r="AX37" s="182"/>
      <c r="AY37" s="182"/>
      <c r="AZ37" s="182"/>
    </row>
    <row r="38" spans="1:52" ht="10.5" hidden="1" customHeight="1" x14ac:dyDescent="0.25">
      <c r="A38" s="162" t="s">
        <v>1240</v>
      </c>
      <c r="B38" s="402" t="s">
        <v>1238</v>
      </c>
      <c r="C38" s="133" t="s">
        <v>1411</v>
      </c>
      <c r="D38" s="474" t="b">
        <f>IF(spe_registration!$I$45="NULL",FALSE,spe_registration!$I$45)</f>
        <v>0</v>
      </c>
      <c r="E38" s="423" t="s">
        <v>1446</v>
      </c>
      <c r="F38" s="166" t="str">
        <f>spe_registration!$L$45</f>
        <v>No Debt Securities are Listed</v>
      </c>
      <c r="G38" s="207" t="s">
        <v>1427</v>
      </c>
      <c r="H38" s="208">
        <v>4</v>
      </c>
      <c r="I38" s="208">
        <v>5</v>
      </c>
      <c r="J38" s="201" t="str">
        <f>spe_registration!$F$45</f>
        <v>N</v>
      </c>
      <c r="K38" s="196"/>
      <c r="L38" s="191"/>
      <c r="M38" s="429"/>
      <c r="N38" s="182"/>
      <c r="O38" s="182"/>
      <c r="P38" s="182"/>
      <c r="Q38" s="182"/>
      <c r="R38" s="182"/>
      <c r="S38" s="182"/>
      <c r="T38" s="182"/>
      <c r="U38" s="182"/>
      <c r="V38" s="182"/>
      <c r="W38" s="182"/>
      <c r="X38" s="182"/>
      <c r="Y38" s="182"/>
      <c r="Z38" s="182"/>
      <c r="AA38" s="182"/>
      <c r="AB38" s="182"/>
      <c r="AC38" s="182"/>
      <c r="AD38" s="182"/>
      <c r="AE38" s="182"/>
      <c r="AF38" s="182"/>
      <c r="AG38" s="182"/>
      <c r="AH38" s="182"/>
      <c r="AI38" s="182"/>
      <c r="AJ38" s="182"/>
      <c r="AK38" s="182"/>
      <c r="AL38" s="182"/>
      <c r="AM38" s="182"/>
      <c r="AN38" s="182"/>
      <c r="AO38" s="182"/>
      <c r="AP38" s="182"/>
      <c r="AQ38" s="182"/>
      <c r="AR38" s="182"/>
      <c r="AS38" s="182"/>
      <c r="AT38" s="182"/>
      <c r="AU38" s="182"/>
      <c r="AV38" s="182"/>
      <c r="AW38" s="182"/>
      <c r="AX38" s="182"/>
      <c r="AY38" s="182"/>
      <c r="AZ38" s="182"/>
    </row>
    <row r="39" spans="1:52" ht="10.5" hidden="1" customHeight="1" x14ac:dyDescent="0.25">
      <c r="A39" s="163" t="s">
        <v>1240</v>
      </c>
      <c r="B39" s="403" t="s">
        <v>1242</v>
      </c>
      <c r="C39" s="158" t="s">
        <v>1412</v>
      </c>
      <c r="D39" s="471" t="str">
        <f>spe_registration!$I$46</f>
        <v>XX</v>
      </c>
      <c r="E39" s="427" t="s">
        <v>1516</v>
      </c>
      <c r="F39" s="168" t="str">
        <f>spe_registration!$L$46</f>
        <v/>
      </c>
      <c r="G39" s="181" t="s">
        <v>1241</v>
      </c>
      <c r="H39" s="185">
        <v>2</v>
      </c>
      <c r="I39" s="185">
        <v>2</v>
      </c>
      <c r="J39" s="202" t="str">
        <f>spe_registration!$F$46</f>
        <v>Y</v>
      </c>
      <c r="K39" s="197"/>
      <c r="L39" s="192"/>
      <c r="M39" s="429"/>
      <c r="N39" s="182"/>
      <c r="O39" s="182"/>
      <c r="P39" s="182"/>
      <c r="Q39" s="182"/>
      <c r="R39" s="182"/>
      <c r="S39" s="182"/>
      <c r="T39" s="182"/>
      <c r="U39" s="182"/>
      <c r="V39" s="182"/>
      <c r="W39" s="182"/>
      <c r="X39" s="182"/>
      <c r="Y39" s="182"/>
      <c r="Z39" s="182"/>
      <c r="AA39" s="182"/>
      <c r="AB39" s="182"/>
      <c r="AC39" s="182"/>
      <c r="AD39" s="182"/>
      <c r="AE39" s="182"/>
      <c r="AF39" s="182"/>
      <c r="AG39" s="182"/>
      <c r="AH39" s="182"/>
      <c r="AI39" s="182"/>
      <c r="AJ39" s="182"/>
      <c r="AK39" s="182"/>
      <c r="AL39" s="182"/>
      <c r="AM39" s="182"/>
      <c r="AN39" s="182"/>
      <c r="AO39" s="182"/>
      <c r="AP39" s="182"/>
      <c r="AQ39" s="182"/>
      <c r="AR39" s="182"/>
      <c r="AS39" s="182"/>
      <c r="AT39" s="182"/>
      <c r="AU39" s="182"/>
      <c r="AV39" s="182"/>
      <c r="AW39" s="182"/>
      <c r="AX39" s="182"/>
      <c r="AY39" s="182"/>
      <c r="AZ39" s="182"/>
    </row>
    <row r="40" spans="1:52" ht="10.5" hidden="1" customHeight="1" x14ac:dyDescent="0.25">
      <c r="A40" s="162" t="s">
        <v>1532</v>
      </c>
      <c r="B40" s="402" t="s">
        <v>1533</v>
      </c>
      <c r="C40" s="157" t="s">
        <v>1536</v>
      </c>
      <c r="D40" s="484" t="b">
        <f>IF(spe_registration!$I$50="NULL",FALSE,spe_registration!$I$50)</f>
        <v>0</v>
      </c>
      <c r="E40" s="423" t="s">
        <v>1476</v>
      </c>
      <c r="F40" s="166" t="str">
        <f>spe_registration!L50</f>
        <v>Please answer Question 1</v>
      </c>
      <c r="G40" s="207" t="s">
        <v>1427</v>
      </c>
      <c r="H40" s="208">
        <v>4</v>
      </c>
      <c r="I40" s="208">
        <v>5</v>
      </c>
      <c r="J40" s="201" t="str">
        <f>spe_registration!$F$50</f>
        <v>N</v>
      </c>
      <c r="K40" s="196"/>
      <c r="L40" s="191"/>
      <c r="M40" s="429"/>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82"/>
      <c r="AO40" s="182"/>
      <c r="AP40" s="182"/>
      <c r="AQ40" s="182"/>
      <c r="AR40" s="182"/>
      <c r="AS40" s="182"/>
      <c r="AT40" s="182"/>
      <c r="AU40" s="182"/>
      <c r="AV40" s="182"/>
      <c r="AW40" s="182"/>
      <c r="AX40" s="182"/>
      <c r="AY40" s="182"/>
      <c r="AZ40" s="182"/>
    </row>
    <row r="41" spans="1:52" ht="10.5" hidden="1" customHeight="1" x14ac:dyDescent="0.25">
      <c r="A41" s="162" t="s">
        <v>1532</v>
      </c>
      <c r="B41" s="402" t="s">
        <v>1534</v>
      </c>
      <c r="C41" s="133" t="s">
        <v>1537</v>
      </c>
      <c r="D41" s="469" t="b">
        <f>IF(spe_registration!$I$52="NULL",FALSE,spe_registration!$I$52)</f>
        <v>0</v>
      </c>
      <c r="E41" s="423" t="s">
        <v>1517</v>
      </c>
      <c r="F41" s="166" t="str">
        <f>spe_registration!L52</f>
        <v/>
      </c>
      <c r="G41" s="207" t="s">
        <v>1427</v>
      </c>
      <c r="H41" s="208">
        <v>4</v>
      </c>
      <c r="I41" s="208">
        <v>5</v>
      </c>
      <c r="J41" s="201" t="str">
        <f>spe_registration!$F$52</f>
        <v>Y</v>
      </c>
      <c r="K41" s="196"/>
      <c r="L41" s="191"/>
      <c r="M41" s="429"/>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2"/>
      <c r="AN41" s="182"/>
      <c r="AO41" s="182"/>
      <c r="AP41" s="182"/>
      <c r="AQ41" s="182"/>
      <c r="AR41" s="182"/>
      <c r="AS41" s="182"/>
      <c r="AT41" s="182"/>
      <c r="AU41" s="182"/>
      <c r="AV41" s="182"/>
      <c r="AW41" s="182"/>
      <c r="AX41" s="182"/>
      <c r="AY41" s="182"/>
      <c r="AZ41" s="182"/>
    </row>
    <row r="42" spans="1:52" ht="10.5" hidden="1" customHeight="1" x14ac:dyDescent="0.25">
      <c r="A42" s="162" t="s">
        <v>1532</v>
      </c>
      <c r="B42" s="402" t="s">
        <v>1535</v>
      </c>
      <c r="C42" s="133" t="s">
        <v>1538</v>
      </c>
      <c r="D42" s="469" t="b">
        <f>IF(spe_registration!$I$54="NULL",FALSE,spe_registration!$I$54)</f>
        <v>0</v>
      </c>
      <c r="E42" s="423" t="s">
        <v>1545</v>
      </c>
      <c r="F42" s="166" t="str">
        <f>spe_registration!L54</f>
        <v/>
      </c>
      <c r="G42" s="207" t="s">
        <v>1427</v>
      </c>
      <c r="H42" s="208">
        <v>4</v>
      </c>
      <c r="I42" s="208">
        <v>5</v>
      </c>
      <c r="J42" s="201" t="str">
        <f>spe_registration!$F$54</f>
        <v>Y</v>
      </c>
      <c r="K42" s="196"/>
      <c r="L42" s="191"/>
      <c r="M42" s="429"/>
      <c r="N42" s="182"/>
      <c r="O42" s="182"/>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c r="AN42" s="182"/>
      <c r="AO42" s="182"/>
      <c r="AP42" s="182"/>
      <c r="AQ42" s="182"/>
      <c r="AR42" s="182"/>
      <c r="AS42" s="182"/>
      <c r="AT42" s="182"/>
      <c r="AU42" s="182"/>
      <c r="AV42" s="182"/>
      <c r="AW42" s="182"/>
      <c r="AX42" s="182"/>
      <c r="AY42" s="182"/>
      <c r="AZ42" s="182"/>
    </row>
    <row r="43" spans="1:52" ht="10.5" hidden="1" customHeight="1" x14ac:dyDescent="0.25">
      <c r="A43" s="162" t="s">
        <v>1532</v>
      </c>
      <c r="B43" s="402" t="s">
        <v>1543</v>
      </c>
      <c r="C43" s="133" t="s">
        <v>1539</v>
      </c>
      <c r="D43" s="469" t="str">
        <f>IF(spe_registration!$I$56="NULL","",spe_registration!$I$56)</f>
        <v/>
      </c>
      <c r="E43" s="423" t="s">
        <v>1546</v>
      </c>
      <c r="F43" s="166" t="str">
        <f>spe_registration!L56</f>
        <v/>
      </c>
      <c r="G43" s="180" t="s">
        <v>1241</v>
      </c>
      <c r="H43" s="184">
        <v>0</v>
      </c>
      <c r="I43" s="184">
        <v>255</v>
      </c>
      <c r="J43" s="201" t="str">
        <f>spe_registration!$F$56</f>
        <v>Y</v>
      </c>
      <c r="K43" s="196"/>
      <c r="L43" s="191"/>
      <c r="M43" s="429"/>
      <c r="N43" s="182"/>
      <c r="O43" s="182"/>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2"/>
      <c r="AN43" s="182"/>
      <c r="AO43" s="182"/>
      <c r="AP43" s="182"/>
      <c r="AQ43" s="182"/>
      <c r="AR43" s="182"/>
      <c r="AS43" s="182"/>
      <c r="AT43" s="182"/>
      <c r="AU43" s="182"/>
      <c r="AV43" s="182"/>
      <c r="AW43" s="182"/>
      <c r="AX43" s="182"/>
      <c r="AY43" s="182"/>
      <c r="AZ43" s="182"/>
    </row>
    <row r="44" spans="1:52" ht="10.5" hidden="1" customHeight="1" x14ac:dyDescent="0.25">
      <c r="A44" s="163" t="s">
        <v>1532</v>
      </c>
      <c r="B44" s="403" t="s">
        <v>1544</v>
      </c>
      <c r="C44" s="158" t="s">
        <v>1540</v>
      </c>
      <c r="D44" s="485" t="str">
        <f>IF(spe_registration!$I$58="NULL","",spe_registration!$I$58)</f>
        <v/>
      </c>
      <c r="E44" s="427" t="s">
        <v>1547</v>
      </c>
      <c r="F44" s="168" t="str">
        <f>spe_registration!L58</f>
        <v/>
      </c>
      <c r="G44" s="181" t="s">
        <v>1241</v>
      </c>
      <c r="H44" s="185">
        <v>0</v>
      </c>
      <c r="I44" s="185">
        <v>255</v>
      </c>
      <c r="J44" s="202" t="str">
        <f>spe_registration!$F$58</f>
        <v>Y</v>
      </c>
      <c r="K44" s="197"/>
      <c r="L44" s="192"/>
      <c r="M44" s="429"/>
      <c r="N44" s="182"/>
      <c r="O44" s="182"/>
      <c r="P44" s="182"/>
      <c r="Q44" s="182"/>
      <c r="R44" s="182"/>
      <c r="S44" s="182"/>
      <c r="T44" s="182"/>
      <c r="U44" s="182"/>
      <c r="V44" s="182"/>
      <c r="W44" s="182"/>
      <c r="X44" s="182"/>
      <c r="Y44" s="182"/>
      <c r="Z44" s="182"/>
      <c r="AA44" s="182"/>
      <c r="AB44" s="182"/>
      <c r="AC44" s="182"/>
      <c r="AD44" s="182"/>
      <c r="AE44" s="182"/>
      <c r="AF44" s="182"/>
      <c r="AG44" s="182"/>
      <c r="AH44" s="182"/>
      <c r="AI44" s="182"/>
      <c r="AJ44" s="182"/>
      <c r="AK44" s="182"/>
      <c r="AL44" s="182"/>
      <c r="AM44" s="182"/>
      <c r="AN44" s="182"/>
      <c r="AO44" s="182"/>
      <c r="AP44" s="182"/>
      <c r="AQ44" s="182"/>
      <c r="AR44" s="182"/>
      <c r="AS44" s="182"/>
      <c r="AT44" s="182"/>
      <c r="AU44" s="182"/>
      <c r="AV44" s="182"/>
      <c r="AW44" s="182"/>
      <c r="AX44" s="182"/>
      <c r="AY44" s="182"/>
      <c r="AZ44" s="182"/>
    </row>
    <row r="45" spans="1:52" ht="10.5" hidden="1" customHeight="1" x14ac:dyDescent="0.25">
      <c r="A45" s="162" t="s">
        <v>1244</v>
      </c>
      <c r="B45" s="402" t="s">
        <v>1270</v>
      </c>
      <c r="C45" s="157" t="s">
        <v>1413</v>
      </c>
      <c r="D45" s="478" t="b">
        <f>IF(spe_registration!$I$66="NULL",FALSE,spe_registration!$I$66)</f>
        <v>0</v>
      </c>
      <c r="E45" s="423" t="s">
        <v>1554</v>
      </c>
      <c r="F45" s="166" t="str">
        <f>spe_registration!$L$66</f>
        <v>Please select whether this is a Consolidated entity.</v>
      </c>
      <c r="G45" s="207" t="s">
        <v>1427</v>
      </c>
      <c r="H45" s="208">
        <v>4</v>
      </c>
      <c r="I45" s="208">
        <v>5</v>
      </c>
      <c r="J45" s="201" t="str">
        <f>spe_registration!$F$66</f>
        <v>N</v>
      </c>
      <c r="K45" s="196"/>
      <c r="L45" s="191"/>
      <c r="M45" s="429"/>
      <c r="N45" s="182"/>
      <c r="O45" s="182"/>
      <c r="P45" s="182"/>
      <c r="Q45" s="182"/>
      <c r="R45" s="182"/>
      <c r="S45" s="182"/>
      <c r="T45" s="182"/>
      <c r="U45" s="182"/>
      <c r="V45" s="182"/>
      <c r="W45" s="182"/>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c r="AT45" s="182"/>
      <c r="AU45" s="182"/>
      <c r="AV45" s="182"/>
      <c r="AW45" s="182"/>
      <c r="AX45" s="182"/>
      <c r="AY45" s="182"/>
      <c r="AZ45" s="182"/>
    </row>
    <row r="46" spans="1:52" ht="10.5" hidden="1" customHeight="1" x14ac:dyDescent="0.25">
      <c r="A46" s="162" t="s">
        <v>1244</v>
      </c>
      <c r="B46" s="411" t="s">
        <v>1271</v>
      </c>
      <c r="C46" s="133" t="s">
        <v>1414</v>
      </c>
      <c r="D46" s="480" t="str">
        <f>IF(spe_registration!$I$67="NULL","",spe_registration!$I$67)</f>
        <v/>
      </c>
      <c r="E46" s="423" t="s">
        <v>1555</v>
      </c>
      <c r="F46" s="166" t="str">
        <f>spe_registration!$L$67</f>
        <v>Please select Accountancy Standard as applicable.</v>
      </c>
      <c r="G46" s="180" t="s">
        <v>1241</v>
      </c>
      <c r="H46" s="184">
        <v>1</v>
      </c>
      <c r="I46" s="184">
        <v>64</v>
      </c>
      <c r="J46" s="201" t="str">
        <f>spe_registration!$F$67</f>
        <v>N</v>
      </c>
      <c r="K46" s="196"/>
      <c r="L46" s="191"/>
      <c r="M46" s="429"/>
      <c r="N46" s="182"/>
      <c r="O46" s="182"/>
      <c r="P46" s="182"/>
      <c r="Q46" s="182"/>
      <c r="R46" s="182"/>
      <c r="S46" s="182"/>
      <c r="T46" s="182"/>
      <c r="U46" s="182"/>
      <c r="V46" s="182"/>
      <c r="W46" s="182"/>
      <c r="X46" s="182"/>
      <c r="Y46" s="182"/>
      <c r="Z46" s="182"/>
      <c r="AA46" s="182"/>
      <c r="AB46" s="182"/>
      <c r="AC46" s="182"/>
      <c r="AD46" s="182"/>
      <c r="AE46" s="182"/>
      <c r="AF46" s="182"/>
      <c r="AG46" s="182"/>
      <c r="AH46" s="182"/>
      <c r="AI46" s="182"/>
      <c r="AJ46" s="182"/>
      <c r="AK46" s="182"/>
      <c r="AL46" s="182"/>
      <c r="AM46" s="182"/>
      <c r="AN46" s="182"/>
      <c r="AO46" s="182"/>
      <c r="AP46" s="182"/>
      <c r="AQ46" s="182"/>
      <c r="AR46" s="182"/>
      <c r="AS46" s="182"/>
      <c r="AT46" s="182"/>
      <c r="AU46" s="182"/>
      <c r="AV46" s="182"/>
      <c r="AW46" s="182"/>
      <c r="AX46" s="182"/>
      <c r="AY46" s="182"/>
      <c r="AZ46" s="182"/>
    </row>
    <row r="47" spans="1:52" ht="10.5" hidden="1" customHeight="1" x14ac:dyDescent="0.25">
      <c r="A47" s="162" t="s">
        <v>1244</v>
      </c>
      <c r="B47" s="411" t="s">
        <v>1247</v>
      </c>
      <c r="C47" s="133" t="s">
        <v>1415</v>
      </c>
      <c r="D47" s="474" t="b">
        <f>IF(spe_registration!$I$70="NULL",FALSE,spe_registration!$I$70)</f>
        <v>0</v>
      </c>
      <c r="E47" s="423" t="s">
        <v>1556</v>
      </c>
      <c r="F47" s="166" t="str">
        <f>spe_registration!$L$70</f>
        <v>Please confirm if the vehicle has Non-Consolidated Interest parties.</v>
      </c>
      <c r="G47" s="207" t="s">
        <v>1427</v>
      </c>
      <c r="H47" s="208">
        <v>4</v>
      </c>
      <c r="I47" s="208">
        <v>5</v>
      </c>
      <c r="J47" s="201" t="str">
        <f>spe_registration!$F$70</f>
        <v>N</v>
      </c>
      <c r="K47" s="196"/>
      <c r="L47" s="191"/>
      <c r="M47" s="429"/>
      <c r="N47" s="182"/>
      <c r="O47" s="182"/>
      <c r="P47" s="182"/>
      <c r="Q47" s="182"/>
      <c r="R47" s="182"/>
      <c r="S47" s="182"/>
      <c r="T47" s="182"/>
      <c r="U47" s="182"/>
      <c r="V47" s="182"/>
      <c r="W47" s="182"/>
      <c r="X47" s="182"/>
      <c r="Y47" s="182"/>
      <c r="Z47" s="182"/>
      <c r="AA47" s="182"/>
      <c r="AB47" s="182"/>
      <c r="AC47" s="182"/>
      <c r="AD47" s="182"/>
      <c r="AE47" s="182"/>
      <c r="AF47" s="182"/>
      <c r="AG47" s="182"/>
      <c r="AH47" s="182"/>
      <c r="AI47" s="182"/>
      <c r="AJ47" s="182"/>
      <c r="AK47" s="182"/>
      <c r="AL47" s="182"/>
      <c r="AM47" s="182"/>
      <c r="AN47" s="182"/>
      <c r="AO47" s="182"/>
      <c r="AP47" s="182"/>
      <c r="AQ47" s="182"/>
      <c r="AR47" s="182"/>
      <c r="AS47" s="182"/>
      <c r="AT47" s="182"/>
      <c r="AU47" s="182"/>
      <c r="AV47" s="182"/>
      <c r="AW47" s="182"/>
      <c r="AX47" s="182"/>
      <c r="AY47" s="182"/>
      <c r="AZ47" s="182"/>
    </row>
    <row r="48" spans="1:52" ht="10.5" hidden="1" customHeight="1" x14ac:dyDescent="0.25">
      <c r="A48" s="163" t="s">
        <v>1244</v>
      </c>
      <c r="B48" s="412" t="s">
        <v>1460</v>
      </c>
      <c r="C48" s="413" t="s">
        <v>1520</v>
      </c>
      <c r="D48" s="487" t="b">
        <v>0</v>
      </c>
      <c r="E48" s="428" t="s">
        <v>1518</v>
      </c>
      <c r="F48" s="170">
        <f>spe_registration!$L$75</f>
        <v>0</v>
      </c>
      <c r="G48" s="211" t="s">
        <v>1427</v>
      </c>
      <c r="H48" s="407">
        <v>4</v>
      </c>
      <c r="I48" s="407">
        <v>5</v>
      </c>
      <c r="J48" s="408" t="str">
        <f>spe_registration!$F$75</f>
        <v>Y</v>
      </c>
      <c r="K48" s="409"/>
      <c r="L48" s="410"/>
      <c r="M48" s="429"/>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c r="AO48" s="182"/>
      <c r="AP48" s="182"/>
      <c r="AQ48" s="182"/>
      <c r="AR48" s="182"/>
      <c r="AS48" s="182"/>
      <c r="AT48" s="182"/>
      <c r="AU48" s="182"/>
      <c r="AV48" s="182"/>
      <c r="AW48" s="182"/>
      <c r="AX48" s="182"/>
      <c r="AY48" s="182"/>
      <c r="AZ48" s="182"/>
    </row>
    <row r="49" spans="1:52" ht="10.5" hidden="1" customHeight="1" x14ac:dyDescent="0.25">
      <c r="A49" s="162" t="s">
        <v>1254</v>
      </c>
      <c r="B49" s="402" t="s">
        <v>1269</v>
      </c>
      <c r="C49" s="157" t="s">
        <v>1360</v>
      </c>
      <c r="D49" s="486" t="str">
        <f ca="1">spe_registration!$I$93</f>
        <v>16/08/2022</v>
      </c>
      <c r="E49" s="423" t="s">
        <v>1557</v>
      </c>
      <c r="F49" s="166" t="str">
        <f>spe_registration!$L$93</f>
        <v>Please supply date this form was completed on.</v>
      </c>
      <c r="G49" s="180" t="s">
        <v>2</v>
      </c>
      <c r="H49" s="186">
        <v>42005</v>
      </c>
      <c r="I49" s="186">
        <v>401768</v>
      </c>
      <c r="J49" s="201" t="str">
        <f>spe_registration!$F$93</f>
        <v>Y</v>
      </c>
      <c r="K49" s="196"/>
      <c r="L49" s="191"/>
      <c r="M49" s="429"/>
      <c r="N49" s="182"/>
      <c r="O49" s="182"/>
      <c r="P49" s="182"/>
      <c r="Q49" s="182"/>
      <c r="R49" s="182"/>
      <c r="S49" s="182"/>
      <c r="T49" s="182"/>
      <c r="U49" s="182"/>
      <c r="V49" s="182"/>
      <c r="W49" s="182"/>
      <c r="X49" s="182"/>
      <c r="Y49" s="182"/>
      <c r="Z49" s="182"/>
      <c r="AA49" s="182"/>
      <c r="AB49" s="182"/>
      <c r="AC49" s="182"/>
      <c r="AD49" s="182"/>
      <c r="AE49" s="182"/>
      <c r="AF49" s="182"/>
      <c r="AG49" s="182"/>
      <c r="AH49" s="182"/>
      <c r="AI49" s="182"/>
      <c r="AJ49" s="182"/>
      <c r="AK49" s="182"/>
      <c r="AL49" s="182"/>
      <c r="AM49" s="182"/>
      <c r="AN49" s="182"/>
      <c r="AO49" s="182"/>
      <c r="AP49" s="182"/>
      <c r="AQ49" s="182"/>
      <c r="AR49" s="182"/>
      <c r="AS49" s="182"/>
      <c r="AT49" s="182"/>
      <c r="AU49" s="182"/>
      <c r="AV49" s="182"/>
      <c r="AW49" s="182"/>
      <c r="AX49" s="182"/>
      <c r="AY49" s="182"/>
      <c r="AZ49" s="182"/>
    </row>
    <row r="50" spans="1:52" ht="10.5" hidden="1" customHeight="1" x14ac:dyDescent="0.25">
      <c r="A50" s="162" t="s">
        <v>1254</v>
      </c>
      <c r="B50" s="402" t="s">
        <v>1257</v>
      </c>
      <c r="C50" s="133" t="s">
        <v>1361</v>
      </c>
      <c r="D50" s="488" t="str">
        <f>IF(spe_registration!$I$94="NULL","",spe_registration!$I$94)</f>
        <v/>
      </c>
      <c r="E50" s="423" t="s">
        <v>1558</v>
      </c>
      <c r="F50" s="166" t="str">
        <f>spe_registration!$L$94</f>
        <v>Please supply the name of the person completing this form.</v>
      </c>
      <c r="G50" s="180" t="s">
        <v>1241</v>
      </c>
      <c r="H50" s="184">
        <v>1</v>
      </c>
      <c r="I50" s="184">
        <v>128</v>
      </c>
      <c r="J50" s="201" t="str">
        <f>spe_registration!$F$94</f>
        <v>N</v>
      </c>
      <c r="K50" s="196"/>
      <c r="L50" s="191"/>
      <c r="M50" s="429"/>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182"/>
      <c r="AN50" s="182"/>
      <c r="AO50" s="182"/>
      <c r="AP50" s="182"/>
      <c r="AQ50" s="182"/>
      <c r="AR50" s="182"/>
      <c r="AS50" s="182"/>
      <c r="AT50" s="182"/>
      <c r="AU50" s="182"/>
      <c r="AV50" s="182"/>
      <c r="AW50" s="182"/>
      <c r="AX50" s="182"/>
      <c r="AY50" s="182"/>
      <c r="AZ50" s="182"/>
    </row>
    <row r="51" spans="1:52" ht="10.5" hidden="1" customHeight="1" x14ac:dyDescent="0.25">
      <c r="A51" s="162" t="s">
        <v>1254</v>
      </c>
      <c r="B51" s="402" t="s">
        <v>1200</v>
      </c>
      <c r="C51" s="133" t="s">
        <v>1362</v>
      </c>
      <c r="D51" s="488" t="str">
        <f>IF(spe_registration!$I$95="NULL","",spe_registration!$I$95)</f>
        <v/>
      </c>
      <c r="E51" s="423" t="s">
        <v>1559</v>
      </c>
      <c r="F51" s="166" t="str">
        <f>spe_registration!$L$95</f>
        <v>Please supply the name of the company completing this form.</v>
      </c>
      <c r="G51" s="180" t="s">
        <v>1241</v>
      </c>
      <c r="H51" s="184">
        <v>1</v>
      </c>
      <c r="I51" s="184">
        <v>128</v>
      </c>
      <c r="J51" s="201" t="str">
        <f>spe_registration!$F$95</f>
        <v>Y</v>
      </c>
      <c r="K51" s="196"/>
      <c r="L51" s="191"/>
      <c r="M51" s="429"/>
      <c r="N51" s="182"/>
      <c r="O51" s="182"/>
      <c r="P51" s="182"/>
      <c r="Q51" s="182"/>
      <c r="R51" s="182"/>
      <c r="S51" s="182"/>
      <c r="T51" s="182"/>
      <c r="U51" s="182"/>
      <c r="V51" s="182"/>
      <c r="W51" s="182"/>
      <c r="X51" s="182"/>
      <c r="Y51" s="182"/>
      <c r="Z51" s="182"/>
      <c r="AA51" s="182"/>
      <c r="AB51" s="182"/>
      <c r="AC51" s="182"/>
      <c r="AD51" s="182"/>
      <c r="AE51" s="182"/>
      <c r="AF51" s="182"/>
      <c r="AG51" s="182"/>
      <c r="AH51" s="182"/>
      <c r="AI51" s="182"/>
      <c r="AJ51" s="182"/>
      <c r="AK51" s="182"/>
      <c r="AL51" s="182"/>
      <c r="AM51" s="182"/>
      <c r="AN51" s="182"/>
      <c r="AO51" s="182"/>
      <c r="AP51" s="182"/>
      <c r="AQ51" s="182"/>
      <c r="AR51" s="182"/>
      <c r="AS51" s="182"/>
      <c r="AT51" s="182"/>
      <c r="AU51" s="182"/>
      <c r="AV51" s="182"/>
      <c r="AW51" s="182"/>
      <c r="AX51" s="182"/>
      <c r="AY51" s="182"/>
      <c r="AZ51" s="182"/>
    </row>
    <row r="52" spans="1:52" ht="10.5" hidden="1" customHeight="1" x14ac:dyDescent="0.25">
      <c r="A52" s="162" t="s">
        <v>1254</v>
      </c>
      <c r="B52" s="402" t="s">
        <v>1255</v>
      </c>
      <c r="C52" s="133" t="s">
        <v>1363</v>
      </c>
      <c r="D52" s="488" t="str">
        <f>IF(spe_registration!$I$96="NULL","",spe_registration!$I$96)</f>
        <v/>
      </c>
      <c r="E52" s="423" t="s">
        <v>1560</v>
      </c>
      <c r="F52" s="166" t="str">
        <f>spe_registration!$L$96</f>
        <v>Please supply the e-mail address of the person completing this form.</v>
      </c>
      <c r="G52" s="180" t="s">
        <v>1241</v>
      </c>
      <c r="H52" s="184">
        <v>1</v>
      </c>
      <c r="I52" s="184">
        <v>128</v>
      </c>
      <c r="J52" s="201" t="str">
        <f>spe_registration!$F$96</f>
        <v>Y</v>
      </c>
      <c r="K52" s="196"/>
      <c r="L52" s="191"/>
      <c r="M52" s="429"/>
      <c r="N52" s="182"/>
      <c r="O52" s="182"/>
      <c r="P52" s="182"/>
      <c r="Q52" s="182"/>
      <c r="R52" s="182"/>
      <c r="S52" s="182"/>
      <c r="T52" s="182"/>
      <c r="U52" s="182"/>
      <c r="V52" s="182"/>
      <c r="W52" s="182"/>
      <c r="X52" s="182"/>
      <c r="Y52" s="182"/>
      <c r="Z52" s="182"/>
      <c r="AA52" s="182"/>
      <c r="AB52" s="182"/>
      <c r="AC52" s="182"/>
      <c r="AD52" s="182"/>
      <c r="AE52" s="182"/>
      <c r="AF52" s="182"/>
      <c r="AG52" s="182"/>
      <c r="AH52" s="182"/>
      <c r="AI52" s="182"/>
      <c r="AJ52" s="182"/>
      <c r="AK52" s="182"/>
      <c r="AL52" s="182"/>
      <c r="AM52" s="182"/>
      <c r="AN52" s="182"/>
      <c r="AO52" s="182"/>
      <c r="AP52" s="182"/>
      <c r="AQ52" s="182"/>
      <c r="AR52" s="182"/>
      <c r="AS52" s="182"/>
      <c r="AT52" s="182"/>
      <c r="AU52" s="182"/>
      <c r="AV52" s="182"/>
      <c r="AW52" s="182"/>
      <c r="AX52" s="182"/>
      <c r="AY52" s="182"/>
      <c r="AZ52" s="182"/>
    </row>
    <row r="53" spans="1:52" ht="10.5" hidden="1" customHeight="1" x14ac:dyDescent="0.25">
      <c r="A53" s="162" t="s">
        <v>1254</v>
      </c>
      <c r="B53" s="411" t="s">
        <v>1256</v>
      </c>
      <c r="C53" s="133" t="s">
        <v>1364</v>
      </c>
      <c r="D53" s="488" t="str">
        <f>IF(spe_registration!$I$97="NULL","",spe_registration!$I$97)</f>
        <v/>
      </c>
      <c r="E53" s="423" t="s">
        <v>1519</v>
      </c>
      <c r="F53" s="166" t="str">
        <f>spe_registration!$L$97</f>
        <v>Please supply the name of the contact telephone number of person completing this form.</v>
      </c>
      <c r="G53" s="180" t="s">
        <v>1241</v>
      </c>
      <c r="H53" s="184">
        <v>0</v>
      </c>
      <c r="I53" s="184">
        <v>32</v>
      </c>
      <c r="J53" s="201" t="str">
        <f>spe_registration!$F$97</f>
        <v>Y</v>
      </c>
      <c r="K53" s="196"/>
      <c r="L53" s="191"/>
      <c r="M53" s="429"/>
      <c r="N53" s="182"/>
      <c r="O53" s="182"/>
      <c r="P53" s="182"/>
      <c r="Q53" s="182"/>
      <c r="R53" s="182"/>
      <c r="S53" s="182"/>
      <c r="T53" s="182"/>
      <c r="U53" s="182"/>
      <c r="V53" s="182"/>
      <c r="W53" s="182"/>
      <c r="X53" s="182"/>
      <c r="Y53" s="182"/>
      <c r="Z53" s="182"/>
      <c r="AA53" s="182"/>
      <c r="AB53" s="182"/>
      <c r="AC53" s="182"/>
      <c r="AD53" s="182"/>
      <c r="AE53" s="182"/>
      <c r="AF53" s="182"/>
      <c r="AG53" s="182"/>
      <c r="AH53" s="182"/>
      <c r="AI53" s="182"/>
      <c r="AJ53" s="182"/>
      <c r="AK53" s="182"/>
      <c r="AL53" s="182"/>
      <c r="AM53" s="182"/>
      <c r="AN53" s="182"/>
      <c r="AO53" s="182"/>
      <c r="AP53" s="182"/>
      <c r="AQ53" s="182"/>
      <c r="AR53" s="182"/>
      <c r="AS53" s="182"/>
      <c r="AT53" s="182"/>
      <c r="AU53" s="182"/>
      <c r="AV53" s="182"/>
      <c r="AW53" s="182"/>
      <c r="AX53" s="182"/>
      <c r="AY53" s="182"/>
      <c r="AZ53" s="182"/>
    </row>
    <row r="54" spans="1:52" ht="10.5" hidden="1" customHeight="1" x14ac:dyDescent="0.25">
      <c r="A54" s="163" t="s">
        <v>1254</v>
      </c>
      <c r="B54" s="403" t="s">
        <v>1201</v>
      </c>
      <c r="C54" s="169" t="s">
        <v>1367</v>
      </c>
      <c r="D54" s="489" t="b">
        <f>IF(spe_registration!$I$104="NULL",FALSE,spe_registration!$I$104)</f>
        <v>1</v>
      </c>
      <c r="E54" s="423" t="s">
        <v>1449</v>
      </c>
      <c r="F54" s="170" t="str">
        <f>spe_registration!$L$104</f>
        <v>I certify that the information in this form is accurate.</v>
      </c>
      <c r="G54" s="211" t="s">
        <v>1427</v>
      </c>
      <c r="H54" s="212">
        <v>4</v>
      </c>
      <c r="I54" s="212">
        <v>5</v>
      </c>
      <c r="J54" s="203" t="str">
        <f>spe_registration!$F$104</f>
        <v>Y</v>
      </c>
      <c r="K54" s="199"/>
      <c r="L54" s="198"/>
      <c r="M54" s="429"/>
      <c r="N54" s="182"/>
      <c r="O54" s="182"/>
      <c r="P54" s="182"/>
      <c r="Q54" s="182"/>
      <c r="R54" s="182"/>
      <c r="S54" s="182"/>
      <c r="T54" s="182"/>
      <c r="U54" s="182"/>
      <c r="V54" s="182"/>
      <c r="W54" s="182"/>
      <c r="X54" s="182"/>
      <c r="Y54" s="182"/>
      <c r="Z54" s="182"/>
      <c r="AA54" s="182"/>
      <c r="AB54" s="182"/>
      <c r="AC54" s="182"/>
      <c r="AD54" s="182"/>
      <c r="AE54" s="182"/>
      <c r="AF54" s="182"/>
      <c r="AG54" s="182"/>
      <c r="AH54" s="182"/>
      <c r="AI54" s="182"/>
      <c r="AJ54" s="182"/>
      <c r="AK54" s="182"/>
      <c r="AL54" s="182"/>
      <c r="AM54" s="182"/>
      <c r="AN54" s="182"/>
      <c r="AO54" s="182"/>
      <c r="AP54" s="182"/>
      <c r="AQ54" s="182"/>
      <c r="AR54" s="182"/>
      <c r="AS54" s="182"/>
      <c r="AT54" s="182"/>
      <c r="AU54" s="182"/>
      <c r="AV54" s="182"/>
      <c r="AW54" s="182"/>
      <c r="AX54" s="182"/>
      <c r="AY54" s="182"/>
      <c r="AZ54" s="182"/>
    </row>
    <row r="55" spans="1:52" ht="10.5" hidden="1" customHeight="1" x14ac:dyDescent="0.25">
      <c r="A55" s="162" t="s">
        <v>1213</v>
      </c>
      <c r="B55" s="402" t="s">
        <v>1565</v>
      </c>
      <c r="C55" s="528" t="s">
        <v>1566</v>
      </c>
      <c r="D55" s="529">
        <v>12</v>
      </c>
      <c r="E55" s="422"/>
      <c r="F55" s="167" t="s">
        <v>1565</v>
      </c>
      <c r="G55" s="179" t="s">
        <v>1308</v>
      </c>
      <c r="H55" s="183">
        <v>1</v>
      </c>
      <c r="I55" s="183">
        <v>999</v>
      </c>
      <c r="J55" s="200" t="str">
        <f>spe_registration!$F$3</f>
        <v>N</v>
      </c>
      <c r="K55" s="195"/>
      <c r="L55" s="190"/>
      <c r="M55" s="429"/>
      <c r="N55" s="182"/>
      <c r="O55" s="182"/>
      <c r="P55" s="182"/>
      <c r="Q55" s="182"/>
      <c r="R55" s="182"/>
      <c r="S55" s="182"/>
      <c r="T55" s="182"/>
      <c r="U55" s="182"/>
      <c r="V55" s="182"/>
      <c r="W55" s="182"/>
      <c r="X55" s="182"/>
      <c r="Y55" s="182"/>
      <c r="Z55" s="182"/>
      <c r="AA55" s="182"/>
      <c r="AB55" s="182"/>
      <c r="AC55" s="182"/>
      <c r="AD55" s="182"/>
      <c r="AE55" s="182"/>
      <c r="AF55" s="182"/>
      <c r="AG55" s="182"/>
      <c r="AH55" s="182"/>
      <c r="AI55" s="182"/>
      <c r="AJ55" s="182"/>
      <c r="AK55" s="182"/>
      <c r="AL55" s="182"/>
      <c r="AM55" s="182"/>
      <c r="AN55" s="182"/>
      <c r="AO55" s="182"/>
      <c r="AP55" s="182"/>
      <c r="AQ55" s="182"/>
      <c r="AR55" s="182"/>
      <c r="AS55" s="182"/>
      <c r="AT55" s="182"/>
      <c r="AU55" s="182"/>
      <c r="AV55" s="182"/>
      <c r="AW55" s="182"/>
      <c r="AX55" s="182"/>
      <c r="AY55" s="182"/>
      <c r="AZ55" s="182"/>
    </row>
  </sheetData>
  <sheetProtection algorithmName="SHA-512" hashValue="rpqcepx+Lr1o/fJyPT1Lc/Z0eBIEgA2uTSheov3Dy0JqtH6TFn5gbYVjKOQ7JZ++ReyWUTMes32mKPlH82DzwQ==" saltValue="Z8sjo7v4Vj93q+/IPFvErw==" spinCount="100000" sheet="1" objects="1" scenarios="1"/>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tint="-4.9989318521683403E-2"/>
    <pageSetUpPr autoPageBreaks="0"/>
  </sheetPr>
  <dimension ref="A1:P19"/>
  <sheetViews>
    <sheetView showGridLines="0" topLeftCell="G1" workbookViewId="0">
      <pane ySplit="1" topLeftCell="A2" activePane="bottomLeft" state="frozen"/>
      <selection pane="bottomLeft" activeCell="H2" sqref="H2"/>
    </sheetView>
  </sheetViews>
  <sheetFormatPr defaultColWidth="0" defaultRowHeight="13.8" zeroHeight="1" x14ac:dyDescent="0.25"/>
  <cols>
    <col min="1" max="1" width="12.6640625" bestFit="1" customWidth="1"/>
    <col min="2" max="2" width="36.5546875" bestFit="1" customWidth="1"/>
    <col min="3" max="3" width="23.44140625" bestFit="1" customWidth="1"/>
    <col min="4" max="4" width="18.5546875" bestFit="1" customWidth="1"/>
    <col min="5" max="5" width="19.33203125" customWidth="1"/>
    <col min="6" max="6" width="47" bestFit="1" customWidth="1"/>
    <col min="7" max="7" width="19.44140625" customWidth="1"/>
    <col min="8" max="8" width="25.6640625" customWidth="1"/>
    <col min="9" max="9" width="21.109375" bestFit="1" customWidth="1"/>
    <col min="10" max="10" width="23.44140625" bestFit="1" customWidth="1"/>
    <col min="11" max="11" width="22.5546875" bestFit="1" customWidth="1"/>
    <col min="12" max="12" width="25.6640625" customWidth="1"/>
    <col min="13" max="13" width="21.109375" bestFit="1" customWidth="1"/>
    <col min="14" max="14" width="23.44140625" bestFit="1" customWidth="1"/>
    <col min="15" max="15" width="22.5546875" bestFit="1" customWidth="1"/>
    <col min="16" max="16" width="15.109375" bestFit="1" customWidth="1"/>
    <col min="17" max="16384" width="9.109375" hidden="1"/>
  </cols>
  <sheetData>
    <row r="1" spans="1:16" ht="21" customHeight="1" x14ac:dyDescent="0.25">
      <c r="A1" s="177" t="s">
        <v>1380</v>
      </c>
      <c r="B1" s="348" t="s">
        <v>1391</v>
      </c>
      <c r="C1" s="348" t="s">
        <v>1381</v>
      </c>
      <c r="D1" s="348" t="s">
        <v>1337</v>
      </c>
      <c r="E1" s="420" t="s">
        <v>1392</v>
      </c>
      <c r="F1" s="348" t="s">
        <v>1382</v>
      </c>
      <c r="G1" s="174" t="s">
        <v>1389</v>
      </c>
      <c r="H1" s="173" t="s">
        <v>1417</v>
      </c>
      <c r="I1" s="174" t="s">
        <v>1288</v>
      </c>
      <c r="J1" s="174" t="s">
        <v>1285</v>
      </c>
      <c r="K1" s="174" t="s">
        <v>1286</v>
      </c>
      <c r="L1" s="173" t="s">
        <v>1418</v>
      </c>
      <c r="M1" s="174" t="s">
        <v>1288</v>
      </c>
      <c r="N1" s="174" t="s">
        <v>1285</v>
      </c>
      <c r="O1" s="174" t="s">
        <v>1286</v>
      </c>
      <c r="P1" s="174" t="s">
        <v>1347</v>
      </c>
    </row>
    <row r="2" spans="1:16" ht="21" customHeight="1" x14ac:dyDescent="0.25">
      <c r="A2" s="238" t="s">
        <v>1416</v>
      </c>
      <c r="B2" s="239" t="str">
        <f>$D$5</f>
        <v>XXX</v>
      </c>
      <c r="C2" s="240">
        <f>$D$6</f>
        <v>0</v>
      </c>
      <c r="D2" s="241" t="str">
        <f>$D$7</f>
        <v/>
      </c>
      <c r="E2" s="417">
        <f>$D$8</f>
        <v>0</v>
      </c>
      <c r="F2" s="242" t="str">
        <f>$D$9</f>
        <v/>
      </c>
      <c r="G2" s="243" t="b">
        <f>$D$10</f>
        <v>0</v>
      </c>
      <c r="H2" s="244" t="str">
        <f>$D$11</f>
        <v/>
      </c>
      <c r="I2" s="240">
        <f>D12</f>
        <v>0</v>
      </c>
      <c r="J2" s="493">
        <f ca="1">$D$13</f>
        <v>44652</v>
      </c>
      <c r="K2" s="494">
        <f>$D$14</f>
        <v>401768</v>
      </c>
      <c r="L2" s="244" t="str">
        <f>$D$15</f>
        <v/>
      </c>
      <c r="M2" s="245">
        <f>$D$16</f>
        <v>0</v>
      </c>
      <c r="N2" s="492">
        <f ca="1">$D$17</f>
        <v>44652</v>
      </c>
      <c r="O2" s="494">
        <f>$D$18</f>
        <v>401768</v>
      </c>
      <c r="P2" s="246" t="b">
        <f>$D$19</f>
        <v>1</v>
      </c>
    </row>
    <row r="3" spans="1:16" ht="21" customHeight="1" x14ac:dyDescent="0.25">
      <c r="A3" s="176"/>
      <c r="B3" s="176"/>
      <c r="C3" s="175"/>
      <c r="D3" s="175"/>
      <c r="E3" s="175"/>
      <c r="F3" s="175"/>
      <c r="G3" s="175"/>
      <c r="H3" s="175"/>
      <c r="I3" s="175"/>
      <c r="J3" s="175"/>
      <c r="K3" s="175"/>
      <c r="L3" s="175"/>
      <c r="M3" s="175"/>
      <c r="N3" s="175"/>
      <c r="O3" s="175"/>
      <c r="P3" s="175"/>
    </row>
    <row r="4" spans="1:16" ht="10.5" hidden="1" customHeight="1" x14ac:dyDescent="0.25">
      <c r="A4" s="213" t="s">
        <v>1377</v>
      </c>
      <c r="B4" s="213" t="s">
        <v>1409</v>
      </c>
      <c r="C4" s="214" t="s">
        <v>1380</v>
      </c>
      <c r="D4" s="215" t="s">
        <v>1416</v>
      </c>
      <c r="E4" s="187" t="s">
        <v>1429</v>
      </c>
      <c r="F4" s="216" t="s">
        <v>1428</v>
      </c>
      <c r="G4" s="187" t="s">
        <v>1423</v>
      </c>
      <c r="H4" s="187" t="s">
        <v>1424</v>
      </c>
      <c r="I4" s="187" t="s">
        <v>1425</v>
      </c>
      <c r="J4" s="193" t="s">
        <v>1448</v>
      </c>
      <c r="K4" s="194"/>
      <c r="L4" s="189"/>
      <c r="M4" s="153"/>
      <c r="N4" s="153"/>
      <c r="O4" s="153"/>
      <c r="P4" s="153"/>
    </row>
    <row r="5" spans="1:16" ht="10.5" hidden="1" customHeight="1" x14ac:dyDescent="0.25">
      <c r="A5" s="162" t="s">
        <v>1213</v>
      </c>
      <c r="B5" s="402" t="s">
        <v>1230</v>
      </c>
      <c r="C5" s="157" t="s">
        <v>1391</v>
      </c>
      <c r="D5" s="468" t="str">
        <f>spe_registration!$I$3</f>
        <v>XXX</v>
      </c>
      <c r="E5" s="422" t="s">
        <v>1430</v>
      </c>
      <c r="F5" s="167" t="str">
        <f>spe_registration!$L$3</f>
        <v>Please select Vehicle Type from drop-down list.</v>
      </c>
      <c r="G5" s="179" t="s">
        <v>1241</v>
      </c>
      <c r="H5" s="183">
        <v>1</v>
      </c>
      <c r="I5" s="183">
        <v>3</v>
      </c>
      <c r="J5" s="200" t="str">
        <f>spe_registration!$F$3</f>
        <v>N</v>
      </c>
      <c r="K5" s="195"/>
      <c r="L5" s="190"/>
      <c r="M5" s="153"/>
      <c r="N5" s="153"/>
      <c r="O5" s="153"/>
      <c r="P5" s="153"/>
    </row>
    <row r="6" spans="1:16" ht="10.5" hidden="1" customHeight="1" x14ac:dyDescent="0.25">
      <c r="A6" s="162" t="s">
        <v>1213</v>
      </c>
      <c r="B6" s="402" t="s">
        <v>1506</v>
      </c>
      <c r="C6" s="220" t="s">
        <v>1381</v>
      </c>
      <c r="D6" s="469">
        <f>spe_registration!$I$108</f>
        <v>0</v>
      </c>
      <c r="E6" s="423" t="s">
        <v>1500</v>
      </c>
      <c r="F6" s="166">
        <f>spe_registration!$L$108</f>
        <v>0</v>
      </c>
      <c r="G6" s="180" t="s">
        <v>1308</v>
      </c>
      <c r="H6" s="184">
        <v>0</v>
      </c>
      <c r="I6" s="184">
        <v>999999999</v>
      </c>
      <c r="J6" s="201" t="str">
        <f>spe_registration!$F$108</f>
        <v>N</v>
      </c>
      <c r="K6" s="196"/>
      <c r="L6" s="191"/>
      <c r="M6" s="153"/>
      <c r="N6" s="153"/>
      <c r="O6" s="153"/>
      <c r="P6" s="153"/>
    </row>
    <row r="7" spans="1:16" ht="10.5" hidden="1" customHeight="1" x14ac:dyDescent="0.25">
      <c r="A7" s="162" t="s">
        <v>1213</v>
      </c>
      <c r="B7" s="402" t="s">
        <v>1211</v>
      </c>
      <c r="C7" s="133" t="s">
        <v>1337</v>
      </c>
      <c r="D7" s="470" t="str">
        <f>IF(spe_registration!$I$7="NULL","",spe_registration!$I$7)</f>
        <v/>
      </c>
      <c r="E7" s="423" t="s">
        <v>1431</v>
      </c>
      <c r="F7" s="166" t="str">
        <f>spe_registration!$L$7</f>
        <v>Please supply Legal Entity Indentifier for vehicle (if available) or leave blank if not.</v>
      </c>
      <c r="G7" s="180" t="s">
        <v>1426</v>
      </c>
      <c r="H7" s="184">
        <v>0</v>
      </c>
      <c r="I7" s="184">
        <v>20</v>
      </c>
      <c r="J7" s="201" t="str">
        <f>spe_registration!$F$7</f>
        <v>Y</v>
      </c>
      <c r="K7" s="196"/>
      <c r="L7" s="191"/>
      <c r="M7" s="153"/>
      <c r="N7" s="153"/>
      <c r="O7" s="153"/>
      <c r="P7" s="153"/>
    </row>
    <row r="8" spans="1:16" ht="10.5" hidden="1" customHeight="1" x14ac:dyDescent="0.25">
      <c r="A8" s="162" t="s">
        <v>1213</v>
      </c>
      <c r="B8" s="418" t="s">
        <v>1522</v>
      </c>
      <c r="C8" s="133" t="s">
        <v>1392</v>
      </c>
      <c r="D8" s="470">
        <f>IF(spe_registration!$I$9="NULL",0,spe_registration!$I$9)</f>
        <v>0</v>
      </c>
      <c r="E8" s="423" t="s">
        <v>1433</v>
      </c>
      <c r="F8" s="166" t="str">
        <f>spe_registration!$L$9</f>
        <v>You must supply the Companies Registration Office number for this Irish registered vehicle.</v>
      </c>
      <c r="G8" s="180" t="s">
        <v>1308</v>
      </c>
      <c r="H8" s="184">
        <v>0</v>
      </c>
      <c r="I8" s="184">
        <v>999999</v>
      </c>
      <c r="J8" s="201" t="str">
        <f>spe_registration!$F$9</f>
        <v>N</v>
      </c>
      <c r="K8" s="196"/>
      <c r="L8" s="191"/>
      <c r="M8" s="153"/>
      <c r="N8" s="153"/>
      <c r="O8" s="153"/>
      <c r="P8" s="153"/>
    </row>
    <row r="9" spans="1:16" ht="10.5" hidden="1" customHeight="1" x14ac:dyDescent="0.25">
      <c r="A9" s="171" t="s">
        <v>1213</v>
      </c>
      <c r="B9" s="419" t="s">
        <v>917</v>
      </c>
      <c r="C9" s="169" t="s">
        <v>1382</v>
      </c>
      <c r="D9" s="490" t="str">
        <f>IF(spe_registration!$I$5="NULL","",spe_registration!$I$5)</f>
        <v/>
      </c>
      <c r="E9" s="424" t="s">
        <v>1432</v>
      </c>
      <c r="F9" s="415" t="str">
        <f>spe_registration!$L$5</f>
        <v>Please supply full legal name of registered vehicle.</v>
      </c>
      <c r="G9" s="224" t="s">
        <v>1241</v>
      </c>
      <c r="H9" s="416">
        <v>1</v>
      </c>
      <c r="I9" s="416">
        <v>255</v>
      </c>
      <c r="J9" s="225" t="str">
        <f>spe_registration!$F$5</f>
        <v>N</v>
      </c>
      <c r="K9" s="226"/>
      <c r="L9" s="227"/>
      <c r="M9" s="153"/>
      <c r="N9" s="153"/>
      <c r="O9" s="153"/>
      <c r="P9" s="153"/>
    </row>
    <row r="10" spans="1:16" ht="10.5" hidden="1" customHeight="1" x14ac:dyDescent="0.25">
      <c r="A10" s="172" t="s">
        <v>1378</v>
      </c>
      <c r="B10" s="421" t="s">
        <v>1406</v>
      </c>
      <c r="C10" s="164" t="s">
        <v>1389</v>
      </c>
      <c r="D10" s="491" t="b">
        <f>IF(spe_registration!$I$109="NULL",FALSE,spe_registration!$I$109)</f>
        <v>0</v>
      </c>
      <c r="E10" s="425" t="s">
        <v>1549</v>
      </c>
      <c r="F10" s="218" t="str">
        <f>spe_registration!$L$109</f>
        <v>PLEASE SELECT THE REPORTING STATUS OF THE ENTITY</v>
      </c>
      <c r="G10" s="228" t="s">
        <v>1427</v>
      </c>
      <c r="H10" s="229">
        <v>4</v>
      </c>
      <c r="I10" s="229">
        <v>5</v>
      </c>
      <c r="J10" s="221" t="str">
        <f>spe_registration!$F$109</f>
        <v>N</v>
      </c>
      <c r="K10" s="222"/>
      <c r="L10" s="223"/>
      <c r="M10" s="153"/>
      <c r="N10" s="153"/>
      <c r="O10" s="153"/>
      <c r="P10" s="153"/>
    </row>
    <row r="11" spans="1:16" ht="10.5" hidden="1" customHeight="1" x14ac:dyDescent="0.25">
      <c r="A11" s="162" t="s">
        <v>1199</v>
      </c>
      <c r="B11" s="402" t="s">
        <v>1250</v>
      </c>
      <c r="C11" s="157" t="s">
        <v>1417</v>
      </c>
      <c r="D11" s="476" t="str">
        <f>IF(spe_registration!$I$79="NULL","",spe_registration!$I$79)</f>
        <v/>
      </c>
      <c r="E11" s="422" t="s">
        <v>1523</v>
      </c>
      <c r="F11" s="167" t="str">
        <f>spe_registration!$L$79</f>
        <v>The reporting agent is the company who will be submitting quarterly returns for the vehicle going forward. 
This may or may not be the entity who files the initial registration form.</v>
      </c>
      <c r="G11" s="179" t="s">
        <v>1241</v>
      </c>
      <c r="H11" s="183">
        <v>0</v>
      </c>
      <c r="I11" s="183">
        <v>255</v>
      </c>
      <c r="J11" s="200" t="str">
        <f>spe_registration!$F$79</f>
        <v>N</v>
      </c>
      <c r="K11" s="195"/>
      <c r="L11" s="190"/>
      <c r="M11" s="153"/>
      <c r="N11" s="153"/>
      <c r="O11" s="153"/>
      <c r="P11" s="153"/>
    </row>
    <row r="12" spans="1:16" ht="10.5" hidden="1" customHeight="1" x14ac:dyDescent="0.25">
      <c r="A12" s="162" t="s">
        <v>1199</v>
      </c>
      <c r="B12" s="402" t="s">
        <v>1251</v>
      </c>
      <c r="C12" s="133" t="s">
        <v>1288</v>
      </c>
      <c r="D12" s="470">
        <f>IF(spe_registration!$I$80="NULL",0,spe_registration!$I$80)</f>
        <v>0</v>
      </c>
      <c r="E12" s="423" t="s">
        <v>1452</v>
      </c>
      <c r="F12" s="166">
        <f>spe_registration!$L$80</f>
        <v>0</v>
      </c>
      <c r="G12" s="180" t="s">
        <v>1308</v>
      </c>
      <c r="H12" s="184">
        <v>0</v>
      </c>
      <c r="I12" s="184">
        <v>999999999</v>
      </c>
      <c r="J12" s="201" t="str">
        <f>spe_registration!$F$80</f>
        <v>N</v>
      </c>
      <c r="K12" s="196"/>
      <c r="L12" s="191"/>
      <c r="M12" s="153"/>
      <c r="N12" s="153"/>
      <c r="O12" s="153"/>
      <c r="P12" s="153"/>
    </row>
    <row r="13" spans="1:16" ht="10.5" hidden="1" customHeight="1" x14ac:dyDescent="0.25">
      <c r="A13" s="162" t="s">
        <v>1199</v>
      </c>
      <c r="B13" s="402" t="s">
        <v>1202</v>
      </c>
      <c r="C13" s="133" t="s">
        <v>1285</v>
      </c>
      <c r="D13" s="473">
        <f ca="1">IFERROR(VLOOKUP(spe_registration!$I$81,dates!$E$1:$G$85,3,FALSE),0)</f>
        <v>44652</v>
      </c>
      <c r="E13" s="423" t="s">
        <v>1524</v>
      </c>
      <c r="F13" s="166" t="str">
        <f>spe_registration!$L$81</f>
        <v/>
      </c>
      <c r="G13" s="464" t="s">
        <v>2</v>
      </c>
      <c r="H13" s="465">
        <v>0</v>
      </c>
      <c r="I13" s="465">
        <v>401768</v>
      </c>
      <c r="J13" s="201" t="str">
        <f>spe_registration!$F$81</f>
        <v>Y</v>
      </c>
      <c r="K13" s="196"/>
      <c r="L13" s="191"/>
      <c r="M13" s="153"/>
      <c r="N13" s="153"/>
      <c r="O13" s="153"/>
      <c r="P13" s="153"/>
    </row>
    <row r="14" spans="1:16" ht="10.5" hidden="1" customHeight="1" x14ac:dyDescent="0.25">
      <c r="A14" s="171" t="s">
        <v>1199</v>
      </c>
      <c r="B14" s="419" t="s">
        <v>1203</v>
      </c>
      <c r="C14" s="158" t="s">
        <v>1286</v>
      </c>
      <c r="D14" s="495">
        <f>IFERROR(VLOOKUP(spe_registration!$I$82,dates!$E$1:$G$85,3,FALSE),0)</f>
        <v>401768</v>
      </c>
      <c r="E14" s="426" t="s">
        <v>1561</v>
      </c>
      <c r="F14" s="217" t="s">
        <v>1371</v>
      </c>
      <c r="G14" s="497" t="s">
        <v>2</v>
      </c>
      <c r="H14" s="467">
        <v>0</v>
      </c>
      <c r="I14" s="467">
        <v>401768</v>
      </c>
      <c r="J14" s="203" t="str">
        <f>spe_registration!$F$82</f>
        <v>Y</v>
      </c>
      <c r="K14" s="199"/>
      <c r="L14" s="198"/>
      <c r="M14" s="153"/>
      <c r="N14" s="153"/>
      <c r="O14" s="153"/>
      <c r="P14" s="153"/>
    </row>
    <row r="15" spans="1:16" ht="10.5" hidden="1" customHeight="1" x14ac:dyDescent="0.25">
      <c r="A15" s="162" t="s">
        <v>1199</v>
      </c>
      <c r="B15" s="402" t="s">
        <v>1252</v>
      </c>
      <c r="C15" s="157" t="s">
        <v>1418</v>
      </c>
      <c r="D15" s="406" t="str">
        <f>IF(spe_registration!$I$84="NULL","",spe_registration!$I$84)</f>
        <v/>
      </c>
      <c r="E15" s="422" t="s">
        <v>1562</v>
      </c>
      <c r="F15" s="167" t="str">
        <f>spe_registration!$L$84</f>
        <v>Name of the entity which provides the registered office address for the Vehicle should be provided here.</v>
      </c>
      <c r="G15" s="179" t="s">
        <v>1241</v>
      </c>
      <c r="H15" s="183">
        <v>0</v>
      </c>
      <c r="I15" s="183">
        <v>255</v>
      </c>
      <c r="J15" s="200" t="str">
        <f>spe_registration!$F$84</f>
        <v>N</v>
      </c>
      <c r="K15" s="195"/>
      <c r="L15" s="190"/>
      <c r="M15" s="153"/>
      <c r="N15" s="153"/>
      <c r="O15" s="153"/>
      <c r="P15" s="153"/>
    </row>
    <row r="16" spans="1:16" ht="10.5" hidden="1" customHeight="1" x14ac:dyDescent="0.25">
      <c r="A16" s="162" t="s">
        <v>1199</v>
      </c>
      <c r="B16" s="402" t="s">
        <v>1253</v>
      </c>
      <c r="C16" s="133" t="s">
        <v>1288</v>
      </c>
      <c r="D16" s="405">
        <f>IF(spe_registration!$I$85="NULL",0,spe_registration!$I$85)</f>
        <v>0</v>
      </c>
      <c r="E16" s="423" t="s">
        <v>1563</v>
      </c>
      <c r="F16" s="166" t="str">
        <f>spe_registration!$L$85</f>
        <v>Please supply the Central Bank C-Code of the Corporate Service Provider for this Vehicle (if available).</v>
      </c>
      <c r="G16" s="180" t="s">
        <v>1308</v>
      </c>
      <c r="H16" s="184">
        <v>0</v>
      </c>
      <c r="I16" s="184">
        <v>999999999</v>
      </c>
      <c r="J16" s="201" t="str">
        <f>spe_registration!$F$85</f>
        <v>N</v>
      </c>
      <c r="K16" s="196"/>
      <c r="L16" s="191"/>
      <c r="M16" s="153"/>
      <c r="N16" s="153"/>
      <c r="O16" s="153"/>
      <c r="P16" s="153"/>
    </row>
    <row r="17" spans="1:16" ht="10.5" hidden="1" customHeight="1" x14ac:dyDescent="0.25">
      <c r="A17" s="162" t="s">
        <v>1199</v>
      </c>
      <c r="B17" s="402" t="s">
        <v>1202</v>
      </c>
      <c r="C17" s="133" t="s">
        <v>1285</v>
      </c>
      <c r="D17" s="473">
        <f ca="1">IFERROR(VLOOKUP(spe_registration!$I$86,dates!$E$1:$G$85,3,FALSE),0)</f>
        <v>44652</v>
      </c>
      <c r="E17" s="423" t="s">
        <v>1564</v>
      </c>
      <c r="F17" s="166" t="str">
        <f>spe_registration!$L$86</f>
        <v/>
      </c>
      <c r="G17" s="464" t="s">
        <v>2</v>
      </c>
      <c r="H17" s="465">
        <v>0</v>
      </c>
      <c r="I17" s="465">
        <v>401768</v>
      </c>
      <c r="J17" s="201" t="str">
        <f>spe_registration!$F$86</f>
        <v>Y</v>
      </c>
      <c r="K17" s="196"/>
      <c r="L17" s="191"/>
      <c r="M17" s="153"/>
      <c r="N17" s="153"/>
      <c r="O17" s="153"/>
      <c r="P17" s="153"/>
    </row>
    <row r="18" spans="1:16" ht="10.5" hidden="1" customHeight="1" x14ac:dyDescent="0.25">
      <c r="A18" s="171" t="s">
        <v>1199</v>
      </c>
      <c r="B18" s="419" t="s">
        <v>1203</v>
      </c>
      <c r="C18" s="158" t="s">
        <v>1286</v>
      </c>
      <c r="D18" s="495">
        <f>IFERROR(VLOOKUP(spe_registration!$I$87,dates!$E$1:$G$85,3,FALSE),0)</f>
        <v>401768</v>
      </c>
      <c r="E18" s="426" t="s">
        <v>1447</v>
      </c>
      <c r="F18" s="217" t="s">
        <v>1372</v>
      </c>
      <c r="G18" s="497" t="s">
        <v>2</v>
      </c>
      <c r="H18" s="467">
        <v>0</v>
      </c>
      <c r="I18" s="467">
        <v>401768</v>
      </c>
      <c r="J18" s="203" t="str">
        <f>spe_registration!$F$87</f>
        <v>Y</v>
      </c>
      <c r="K18" s="199"/>
      <c r="L18" s="198"/>
      <c r="M18" s="153"/>
      <c r="N18" s="153"/>
      <c r="O18" s="153"/>
      <c r="P18" s="153"/>
    </row>
    <row r="19" spans="1:16" ht="10.5" hidden="1" customHeight="1" x14ac:dyDescent="0.25">
      <c r="A19" s="172" t="s">
        <v>1199</v>
      </c>
      <c r="B19" s="421" t="s">
        <v>1374</v>
      </c>
      <c r="C19" s="164" t="s">
        <v>1347</v>
      </c>
      <c r="D19" s="496" t="b">
        <f>IF(spe_registration!$I$89="NULL",FALSE,spe_registration!$I$89)</f>
        <v>1</v>
      </c>
      <c r="E19" s="424" t="s">
        <v>1477</v>
      </c>
      <c r="F19" s="219" t="s">
        <v>1507</v>
      </c>
      <c r="G19" s="228" t="s">
        <v>1427</v>
      </c>
      <c r="H19" s="229">
        <v>4</v>
      </c>
      <c r="I19" s="229">
        <v>5</v>
      </c>
      <c r="J19" s="225" t="str">
        <f>spe_registration!$F$89</f>
        <v>Y</v>
      </c>
      <c r="K19" s="226"/>
      <c r="L19" s="227"/>
      <c r="M19" s="153"/>
      <c r="N19" s="153"/>
      <c r="O19" s="153"/>
      <c r="P19" s="153"/>
    </row>
  </sheetData>
  <sheetProtection algorithmName="SHA-512" hashValue="zG34DpqTmSlF1NXe3tB1QFpKcSMO5pc2m1agipgLoKgKfF3hd4dCYFk2oDi3voVmxrEoXVeRzRCuGOqpfTrsqw==" saltValue="v5Aj6lPqRFHkQflR1yu8Jw==" spinCount="100000" sheet="1" objects="1" scenarios="1"/>
  <pageMargins left="0.7" right="0.7" top="0.75" bottom="0.75" header="0.3" footer="0.3"/>
  <pageSetup paperSize="9" orientation="portrait" r:id="rId1"/>
  <headerFooter>
    <oddHeader>&amp;L&amp;"Times New Roman,Regular"&amp;12&amp;K000000Central Bank of Ireland - PUBLIC</oddHeader>
    <evenHeader>&amp;L&amp;"Times New Roman,Regular"&amp;12&amp;K000000Central Bank of Ireland - PUBLIC</evenHeader>
    <firstHeader>&amp;L&amp;"Times New Roman,Regular"&amp;12&amp;K000000Central Bank of Ireland - PUBLIC</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D a t a M a s h u p   x m l n s = " h t t p : / / s c h e m a s . m i c r o s o f t . c o m / D a t a M a s h u p " > A A A A A B g D A A B Q S w M E F A A C A A g A 7 Y 5 o T P y 1 w T S o A A A A + A A A A B I A H A B D b 2 5 m a W c v U G F j a 2 F n Z S 5 4 b W w g o h g A K K A U A A A A A A A A A A A A A A A A A A A A A A A A A A A A h Y / N C o J A G E V f R W b v / J U h 8 j k u o k W Q E A T R d p g m H d I x d G x 8 t x Y 9 U q + Q U F a 7 l v d w F u c + b n f I h r o K r r r t T G N T x D B F g b a q O R p b p K h 3 p z B G m Y C t V G d Z 6 G C U b Z c M 3 T F F p X O X h B D v P f Y z 3 L Q F 4 Z Q y c s g 3 O 1 X q W q K P b P 7 L o b G d k 1 Z p J G D / i h E c R w z P 4 z j C f M G A T B h y Y 7 8 K H 4 s x B f I D Y d l X r m + 1 0 D Z c r 4 B M E 8 j 7 h X g C U E s D B B Q A A g A I A O 2 O a E w 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t j m h M K I p H u A 4 A A A A R A A A A E w A c A E Z v c m 1 1 b G F z L 1 N l Y 3 R p b 2 4 x L m 0 g o h g A K K A U A A A A A A A A A A A A A A A A A A A A A A A A A A A A K 0 5 N L s n M z 1 M I h t C G 1 g B Q S w E C L Q A U A A I A C A D t j m h M / L X B N K g A A A D 4 A A A A E g A A A A A A A A A A A A A A A A A A A A A A Q 2 9 u Z m l n L 1 B h Y 2 t h Z 2 U u e G 1 s U E s B A i 0 A F A A C A A g A 7 Y 5 o T A / K 6 a u k A A A A 6 Q A A A B M A A A A A A A A A A A A A A A A A 9 A A A A F t D b 2 5 0 Z W 5 0 X 1 R 5 c G V z X S 5 4 b W x Q S w E C L Q A U A A I A C A D t j m h M K I p H u A 4 A A A A R A A A A E w A A A A A A A A A A A A A A A A D l A Q A A R m 9 y b X V s Y X M v U 2 V j d G l v b j E u b V B L B Q Y A A A A A A w A D A M I A A A B A 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7 F A Q A A A A A A A K M 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R W 5 0 c n k g V H l w Z T 0 i U X V l c n l H c m 9 1 c H M i I F Z h b H V l P S J z Q U F B Q U F B P T 0 i I C 8 + P C 9 T d G F i b G V F b n R y a W V z P j w v S X R l b T 4 8 L 0 l 0 Z W 1 z P j w v T G 9 j Y W x Q Y W N r Y W d l T W V 0 Y W R h d G F G a W x l P h Y A A A B Q S w U G A A A A A A A A A A A A A A A A A A A A A A A A 2 g A A A A E A A A D Q j J 3 f A R X R E Y x 6 A M B P w p f r A Q A A A E G C M 9 T h b Y t G g 3 + u a m T X U t s A A A A A A g A A A A A A A 2 Y A A M A A A A A Q A A A A h W 9 M D E i x N S G j v e e Z l d j w d w A A A A A E g A A A o A A A A B A A A A B M M b l L X 7 Y S P 2 b U y r E 1 W S k e U A A A A C R 6 9 F 5 b K / l n e n H G u B E k I + K e D H W E 3 / v 7 Q x Q n Z K F Z 3 L O y 2 m p a 5 U e V c W S F V y Q H y G / w s z H D P T F P O q 2 9 N D D t U D S C 1 V r M i V 2 8 G y e t d 8 Q X i x W C Y X I v F A A A A D P t 4 b c t L r X m Q U M W a 9 z S m K i j r E G c < / D a t a M a s h u p > 
</file>

<file path=customXml/item3.xml>��< ? x m l   v e r s i o n = " 1 . 0 "   e n c o d i n g = " U T F - 1 6 " ? > < G e m i n i   x m l n s = " h t t p : / / g e m i n i / p i v o t c u s t o m i z a t i o n / L i n k e d T a b l e s " > < C u s t o m C o n t e n t > < ! [ C D A T A [ < L i n k e d T a b l e s   x m l n s : x s d = " h t t p : / / w w w . w 3 . o r g / 2 0 0 1 / X M L S c h e m a "   x m l n s : x s i = " h t t p : / / w w w . w 3 . o r g / 2 0 0 1 / X M L S c h e m a - i n s t a n c e " > < L i n k e d T a b l e L i s t > < L i n k e d T a b l e I n f o > < E x c e l T a b l e N a m e > T a b l e 1 < / E x c e l T a b l e N a m e > < G e m i n i T a b l e I d > T a b l e 1 < / G e m i n i T a b l e I d > < L i n k e d C o l u m n L i s t   / > < U p d a t e N e e d e d > t r u e < / U p d a t e N e e d e d > < R o w C o u n t > 0 < / R o w C o u n t > < / L i n k e d T a b l e I n f o > < / L i n k e d T a b l e L i s t > < / L i n k e d T a b l e s > ] ] > < / C u s t o m C o n t e n t > < / G e m i n i > 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Document" ma:contentTypeID="0x010100783594B0997DE3459F691529E3F599E9" ma:contentTypeVersion="14" ma:contentTypeDescription="Create a new document." ma:contentTypeScope="" ma:versionID="1ffdc14ff4f0fad1238dffc8c05295f7">
  <xsd:schema xmlns:xsd="http://www.w3.org/2001/XMLSchema" xmlns:xs="http://www.w3.org/2001/XMLSchema" xmlns:p="http://schemas.microsoft.com/office/2006/metadata/properties" xmlns:ns2="6b646d74-cc6a-4615-b920-94bae3381481" targetNamespace="http://schemas.microsoft.com/office/2006/metadata/properties" ma:root="true" ma:fieldsID="7f6476bd9c02122dc1dd4fafdcc45a1a" ns2:_="">
    <xsd:import namespace="6b646d74-cc6a-4615-b920-94bae3381481"/>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646d74-cc6a-4615-b920-94bae338148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sisl xmlns:xsi="http://www.w3.org/2001/XMLSchema-instance" xmlns:xsd="http://www.w3.org/2001/XMLSchema" xmlns="http://www.boldonjames.com/2008/01/sie/internal/label" sislVersion="0" policy="a586b747-2a7c-4f57-bcd1-e81df5c8c005" origin="defaultValue">
  <element uid="33ed6465-8d2f-4fab-bbbc-787e2c148707" value=""/>
</sisl>
</file>

<file path=customXml/itemProps1.xml><?xml version="1.0" encoding="utf-8"?>
<ds:datastoreItem xmlns:ds="http://schemas.openxmlformats.org/officeDocument/2006/customXml" ds:itemID="{77390F68-94CB-4603-A9B2-A1B8369D3530}">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6b646d74-cc6a-4615-b920-94bae3381481"/>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269C8478-CB02-4952-9B29-7A03324351E2}">
  <ds:schemaRefs>
    <ds:schemaRef ds:uri="http://schemas.microsoft.com/DataMashup"/>
  </ds:schemaRefs>
</ds:datastoreItem>
</file>

<file path=customXml/itemProps3.xml><?xml version="1.0" encoding="utf-8"?>
<ds:datastoreItem xmlns:ds="http://schemas.openxmlformats.org/officeDocument/2006/customXml" ds:itemID="{C2C58635-AC1C-44E2-992F-0705F63E3BC3}">
  <ds:schemaRefs/>
</ds:datastoreItem>
</file>

<file path=customXml/itemProps4.xml><?xml version="1.0" encoding="utf-8"?>
<ds:datastoreItem xmlns:ds="http://schemas.openxmlformats.org/officeDocument/2006/customXml" ds:itemID="{8DBCA1B5-810D-4336-B34B-56403BE8E042}">
  <ds:schemaRefs>
    <ds:schemaRef ds:uri="http://schemas.microsoft.com/sharepoint/v3/contenttype/forms"/>
  </ds:schemaRefs>
</ds:datastoreItem>
</file>

<file path=customXml/itemProps5.xml><?xml version="1.0" encoding="utf-8"?>
<ds:datastoreItem xmlns:ds="http://schemas.openxmlformats.org/officeDocument/2006/customXml" ds:itemID="{85DCD85E-6F27-4EC3-B532-9186158223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646d74-cc6a-4615-b920-94bae3381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7F439E70-CB69-43D6-8B50-2CA8BC87097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spe_registration</vt:lpstr>
      <vt:lpstr>spe_sponsor</vt:lpstr>
      <vt:lpstr>spe_originator</vt:lpstr>
      <vt:lpstr>spe_consolidator</vt:lpstr>
      <vt:lpstr>dates</vt:lpstr>
      <vt:lpstr>spe_nci</vt:lpstr>
      <vt:lpstr>spe_guarantor</vt:lpstr>
      <vt:lpstr>spe_db_register</vt:lpstr>
      <vt:lpstr>spe_db_racsp</vt:lpstr>
      <vt:lpstr>spe_db_interlinkages</vt:lpstr>
      <vt:lpstr>lists_mult</vt:lpstr>
      <vt:lpstr>lists</vt:lpstr>
    </vt:vector>
  </TitlesOfParts>
  <Company>Central Bank of Ireland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Bohan</dc:creator>
  <cp:keywords>Public</cp:keywords>
  <cp:lastModifiedBy>McCarthy, Barra</cp:lastModifiedBy>
  <cp:lastPrinted>2019-02-12T10:39:08Z</cp:lastPrinted>
  <dcterms:created xsi:type="dcterms:W3CDTF">2018-02-02T11:59:14Z</dcterms:created>
  <dcterms:modified xsi:type="dcterms:W3CDTF">2022-08-16T17:06:07Z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a245cec8-faa8-4bbc-8362-3d258ead6b1d</vt:lpwstr>
  </property>
  <property fmtid="{D5CDD505-2E9C-101B-9397-08002B2CF9AE}" pid="3" name="{A44787D4-0540-4523-9961-78E4036D8C6D}">
    <vt:lpwstr>{9B8BA4A3-8AB2-4EF6-9C83-EB8518CCC8A2}</vt:lpwstr>
  </property>
  <property fmtid="{D5CDD505-2E9C-101B-9397-08002B2CF9AE}" pid="4" name="bjSaver">
    <vt:lpwstr>ifck05lNucbmWHtF26APTWyKyOVunzDq</vt:lpwstr>
  </property>
  <property fmtid="{D5CDD505-2E9C-101B-9397-08002B2CF9AE}" pid="5" name="_NewReviewCycle">
    <vt:lpwstr/>
  </property>
  <property fmtid="{D5CDD505-2E9C-101B-9397-08002B2CF9AE}" pid="6" name="bjDocumentSecurityLabel">
    <vt:lpwstr>Public</vt:lpwstr>
  </property>
  <property fmtid="{D5CDD505-2E9C-101B-9397-08002B2CF9AE}" pid="7" name="bjLeftHeaderLabel-first">
    <vt:lpwstr>&amp;"Times New Roman,Regular"&amp;12&amp;K000000Central Bank of Ireland - PUBLIC</vt:lpwstr>
  </property>
  <property fmtid="{D5CDD505-2E9C-101B-9397-08002B2CF9AE}" pid="8" name="bjLeftHeaderLabel-even">
    <vt:lpwstr>&amp;"Times New Roman,Regular"&amp;12&amp;K000000Central Bank of Ireland - PUBLIC</vt:lpwstr>
  </property>
  <property fmtid="{D5CDD505-2E9C-101B-9397-08002B2CF9AE}" pid="9" name="bjLeftHeaderLabel">
    <vt:lpwstr>&amp;"Times New Roman,Regular"&amp;12&amp;K000000Central Bank of Ireland - PUBLIC</vt:lpwstr>
  </property>
  <property fmtid="{D5CDD505-2E9C-101B-9397-08002B2CF9AE}" pid="10" name="ContentTypeId">
    <vt:lpwstr>0x010100783594B0997DE3459F691529E3F599E9</vt:lpwstr>
  </property>
  <property fmtid="{D5CDD505-2E9C-101B-9397-08002B2CF9AE}" pid="11" name="bjDocumentLabelXML">
    <vt:lpwstr>&lt;?xml version="1.0" encoding="us-ascii"?&gt;&lt;sisl xmlns:xsi="http://www.w3.org/2001/XMLSchema-instance" xmlns:xsd="http://www.w3.org/2001/XMLSchema" sislVersion="0" policy="a586b747-2a7c-4f57-bcd1-e81df5c8c005" origin="defaultValue" xmlns="http://www.boldonj</vt:lpwstr>
  </property>
  <property fmtid="{D5CDD505-2E9C-101B-9397-08002B2CF9AE}" pid="12" name="bjDocumentLabelXML-0">
    <vt:lpwstr>ames.com/2008/01/sie/internal/label"&gt;&lt;element uid="33ed6465-8d2f-4fab-bbbc-787e2c148707" value="" /&gt;&lt;/sisl&gt;</vt:lpwstr>
  </property>
  <property fmtid="{D5CDD505-2E9C-101B-9397-08002B2CF9AE}" pid="13" name="bjClsUserRVM">
    <vt:lpwstr>[]</vt:lpwstr>
  </property>
</Properties>
</file>